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zolina\Documents\PROTOKOLA PIELIKUMI\2023.gads\13. 30.11.2023\"/>
    </mc:Choice>
  </mc:AlternateContent>
  <xr:revisionPtr revIDLastSave="0" documentId="13_ncr:1_{FB4F8E97-6726-4C73-ABEF-6374A9AB755F}" xr6:coauthVersionLast="47" xr6:coauthVersionMax="47" xr10:uidLastSave="{00000000-0000-0000-0000-000000000000}"/>
  <bookViews>
    <workbookView xWindow="75" yWindow="1560" windowWidth="28725" windowHeight="13965" activeTab="2" xr2:uid="{00000000-000D-0000-FFFF-FFFF00000000}"/>
  </bookViews>
  <sheets>
    <sheet name="1.pielikums" sheetId="1" r:id="rId1"/>
    <sheet name="2.pielikums" sheetId="2" r:id="rId2"/>
    <sheet name="3.pielikums" sheetId="3" r:id="rId3"/>
  </sheets>
  <definedNames>
    <definedName name="_xlnm.Print_Titles" localSheetId="0">'1.pielikums'!$8:$8</definedName>
    <definedName name="_xlnm.Print_Titles" localSheetId="1">'2.pielikums'!$8:$9</definedName>
    <definedName name="Excel_BuiltIn_Print_Titles_1">#REF!</definedName>
  </definedNames>
  <calcPr calcId="181029"/>
</workbook>
</file>

<file path=xl/calcChain.xml><?xml version="1.0" encoding="utf-8"?>
<calcChain xmlns="http://schemas.openxmlformats.org/spreadsheetml/2006/main">
  <c r="I180" i="2" l="1"/>
  <c r="I72" i="2"/>
  <c r="G65" i="1"/>
  <c r="G66" i="1"/>
  <c r="G47" i="1"/>
  <c r="G44" i="1"/>
  <c r="I153" i="2"/>
  <c r="I17" i="2"/>
  <c r="I182" i="2"/>
  <c r="I24" i="2"/>
  <c r="G57" i="1"/>
  <c r="G56" i="1"/>
  <c r="G46" i="1"/>
  <c r="G41" i="1"/>
  <c r="I154" i="2"/>
  <c r="I185" i="2"/>
  <c r="L174" i="2"/>
  <c r="I174" i="2"/>
  <c r="L182" i="2"/>
  <c r="I171" i="2"/>
  <c r="H162" i="2"/>
  <c r="G52" i="1"/>
  <c r="H107" i="2"/>
  <c r="H93" i="2"/>
  <c r="H11" i="2"/>
  <c r="H178" i="2"/>
  <c r="I202" i="2" l="1"/>
  <c r="I114" i="2"/>
  <c r="I119" i="2" s="1"/>
  <c r="I18" i="2"/>
  <c r="I25" i="2"/>
  <c r="F47" i="1"/>
  <c r="H181" i="2"/>
  <c r="H187" i="2" s="1"/>
  <c r="G53" i="1"/>
  <c r="I206" i="2"/>
  <c r="I194" i="2"/>
  <c r="I207" i="2" s="1"/>
  <c r="L15" i="2"/>
  <c r="I15" i="2"/>
  <c r="F46" i="1"/>
  <c r="H152" i="2"/>
  <c r="H165" i="2" s="1"/>
  <c r="I187" i="2"/>
  <c r="I177" i="2"/>
  <c r="I176" i="2"/>
  <c r="H174" i="2"/>
  <c r="L84" i="2"/>
  <c r="I84" i="2"/>
  <c r="I105" i="2"/>
  <c r="I38" i="2"/>
  <c r="I51" i="2" s="1"/>
  <c r="I10" i="2"/>
  <c r="H10" i="2"/>
  <c r="H207" i="2"/>
  <c r="M207" i="2"/>
  <c r="M212" i="2" s="1"/>
  <c r="M220" i="2" s="1"/>
  <c r="G194" i="2"/>
  <c r="I73" i="2"/>
  <c r="E49" i="1"/>
  <c r="F42" i="1"/>
  <c r="F43" i="1"/>
  <c r="F44" i="1"/>
  <c r="F45" i="1"/>
  <c r="F48" i="1"/>
  <c r="E38" i="1"/>
  <c r="F30" i="1"/>
  <c r="G30" i="1"/>
  <c r="E30" i="1"/>
  <c r="G19" i="1"/>
  <c r="E19" i="1"/>
  <c r="F20" i="3"/>
  <c r="G21" i="3"/>
  <c r="E21" i="3"/>
  <c r="G16" i="3"/>
  <c r="E16" i="3"/>
  <c r="F11" i="3"/>
  <c r="G11" i="3"/>
  <c r="E11" i="3"/>
  <c r="F10" i="3"/>
  <c r="F9" i="3"/>
  <c r="F26" i="3"/>
  <c r="F25" i="3"/>
  <c r="F24" i="3"/>
  <c r="F15" i="3"/>
  <c r="F14" i="3"/>
  <c r="F19" i="3"/>
  <c r="M219" i="2"/>
  <c r="H218" i="2"/>
  <c r="H219" i="2" s="1"/>
  <c r="I218" i="2"/>
  <c r="I219" i="2" s="1"/>
  <c r="L218" i="2"/>
  <c r="L219" i="2" s="1"/>
  <c r="M218" i="2"/>
  <c r="H214" i="2"/>
  <c r="I214" i="2"/>
  <c r="L214" i="2"/>
  <c r="J212" i="2"/>
  <c r="H211" i="2"/>
  <c r="H209" i="2"/>
  <c r="I209" i="2"/>
  <c r="L209" i="2"/>
  <c r="M209" i="2"/>
  <c r="N209" i="2"/>
  <c r="N212" i="2" s="1"/>
  <c r="H193" i="2"/>
  <c r="I193" i="2"/>
  <c r="J193" i="2"/>
  <c r="L193" i="2"/>
  <c r="M193" i="2"/>
  <c r="N193" i="2"/>
  <c r="N187" i="2"/>
  <c r="M187" i="2"/>
  <c r="L187" i="2"/>
  <c r="L176" i="2"/>
  <c r="H176" i="2"/>
  <c r="J170" i="2"/>
  <c r="M170" i="2"/>
  <c r="H167" i="2"/>
  <c r="I167" i="2"/>
  <c r="G166" i="2"/>
  <c r="G167" i="2" s="1"/>
  <c r="L165" i="2"/>
  <c r="L170" i="2" s="1"/>
  <c r="M165" i="2"/>
  <c r="N152" i="2"/>
  <c r="N165" i="2" s="1"/>
  <c r="N170" i="2" s="1"/>
  <c r="J152" i="2"/>
  <c r="J165" i="2" s="1"/>
  <c r="I152" i="2"/>
  <c r="I165" i="2" s="1"/>
  <c r="H151" i="2"/>
  <c r="I151" i="2"/>
  <c r="H147" i="2"/>
  <c r="I147" i="2"/>
  <c r="L147" i="2"/>
  <c r="H133" i="2"/>
  <c r="I133" i="2"/>
  <c r="L133" i="2"/>
  <c r="G121" i="2"/>
  <c r="G122" i="2" s="1"/>
  <c r="G123" i="2" s="1"/>
  <c r="H122" i="2"/>
  <c r="H123" i="2" s="1"/>
  <c r="I122" i="2"/>
  <c r="I123" i="2" s="1"/>
  <c r="H119" i="2"/>
  <c r="L119" i="2"/>
  <c r="H105" i="2"/>
  <c r="L105" i="2"/>
  <c r="H77" i="2"/>
  <c r="I77" i="2"/>
  <c r="L77" i="2"/>
  <c r="H73" i="2"/>
  <c r="J73" i="2"/>
  <c r="J120" i="2" s="1"/>
  <c r="L73" i="2"/>
  <c r="I57" i="2"/>
  <c r="I70" i="2" s="1"/>
  <c r="I71" i="2" s="1"/>
  <c r="L57" i="2"/>
  <c r="L70" i="2" s="1"/>
  <c r="L71" i="2" s="1"/>
  <c r="H55" i="2"/>
  <c r="M55" i="2"/>
  <c r="M56" i="2" s="1"/>
  <c r="N55" i="2"/>
  <c r="N56" i="2" s="1"/>
  <c r="I53" i="2"/>
  <c r="J53" i="2"/>
  <c r="L53" i="2"/>
  <c r="H51" i="2"/>
  <c r="L51" i="2"/>
  <c r="I31" i="2"/>
  <c r="I37" i="2" s="1"/>
  <c r="J37" i="2"/>
  <c r="L37" i="2"/>
  <c r="G36" i="2"/>
  <c r="K28" i="2"/>
  <c r="K220" i="2" s="1"/>
  <c r="H25" i="2"/>
  <c r="J25" i="2"/>
  <c r="J28" i="2" s="1"/>
  <c r="L25" i="2"/>
  <c r="M25" i="2"/>
  <c r="M28" i="2" s="1"/>
  <c r="N25" i="2"/>
  <c r="N28" i="2" s="1"/>
  <c r="H212" i="2" l="1"/>
  <c r="G60" i="1"/>
  <c r="F60" i="1" s="1"/>
  <c r="G49" i="1"/>
  <c r="L212" i="2"/>
  <c r="H170" i="2"/>
  <c r="I170" i="2"/>
  <c r="N220" i="2"/>
  <c r="H56" i="2"/>
  <c r="L56" i="2"/>
  <c r="J56" i="2"/>
  <c r="J220" i="2" s="1"/>
  <c r="I212" i="2"/>
  <c r="F16" i="3"/>
  <c r="F21" i="3"/>
  <c r="I120" i="2"/>
  <c r="H120" i="2"/>
  <c r="L120" i="2"/>
  <c r="I56" i="2"/>
  <c r="I23" i="2"/>
  <c r="I28" i="2" s="1"/>
  <c r="L10" i="2"/>
  <c r="L23" i="2" s="1"/>
  <c r="L28" i="2" s="1"/>
  <c r="G11" i="2"/>
  <c r="G12" i="2"/>
  <c r="G13" i="2"/>
  <c r="G14" i="2"/>
  <c r="G15" i="2"/>
  <c r="G16" i="2"/>
  <c r="G17" i="2"/>
  <c r="G18" i="2"/>
  <c r="G19" i="2"/>
  <c r="G20" i="2"/>
  <c r="G21" i="2"/>
  <c r="G22" i="2"/>
  <c r="G24" i="2"/>
  <c r="G25" i="2" s="1"/>
  <c r="G26" i="2"/>
  <c r="G27" i="2"/>
  <c r="G29" i="2"/>
  <c r="G30" i="2"/>
  <c r="G31" i="2"/>
  <c r="G32" i="2"/>
  <c r="G33" i="2"/>
  <c r="G34" i="2"/>
  <c r="G35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 s="1"/>
  <c r="G54" i="2"/>
  <c r="G55" i="2" s="1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 s="1"/>
  <c r="G74" i="2"/>
  <c r="G75" i="2"/>
  <c r="G76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24" i="2"/>
  <c r="G125" i="2"/>
  <c r="G126" i="2"/>
  <c r="G127" i="2"/>
  <c r="G128" i="2"/>
  <c r="G129" i="2"/>
  <c r="G130" i="2"/>
  <c r="G131" i="2"/>
  <c r="G132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8" i="2"/>
  <c r="G169" i="2"/>
  <c r="G171" i="2"/>
  <c r="G172" i="2"/>
  <c r="G173" i="2"/>
  <c r="G174" i="2"/>
  <c r="G175" i="2"/>
  <c r="G177" i="2"/>
  <c r="G178" i="2"/>
  <c r="G179" i="2"/>
  <c r="G180" i="2"/>
  <c r="G181" i="2"/>
  <c r="G182" i="2"/>
  <c r="G183" i="2"/>
  <c r="G184" i="2"/>
  <c r="G185" i="2"/>
  <c r="G186" i="2"/>
  <c r="G188" i="2"/>
  <c r="G189" i="2"/>
  <c r="G190" i="2"/>
  <c r="G191" i="2"/>
  <c r="G192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8" i="2"/>
  <c r="G209" i="2" s="1"/>
  <c r="G210" i="2"/>
  <c r="G211" i="2" s="1"/>
  <c r="G213" i="2"/>
  <c r="G214" i="2" s="1"/>
  <c r="G215" i="2"/>
  <c r="G216" i="2"/>
  <c r="G217" i="2"/>
  <c r="G218" i="2" s="1"/>
  <c r="G219" i="2" s="1"/>
  <c r="G82" i="1"/>
  <c r="F82" i="1" s="1"/>
  <c r="G79" i="1"/>
  <c r="F79" i="1" s="1"/>
  <c r="G74" i="1"/>
  <c r="F74" i="1" s="1"/>
  <c r="G71" i="1"/>
  <c r="F71" i="1" s="1"/>
  <c r="G67" i="1"/>
  <c r="F67" i="1" s="1"/>
  <c r="G62" i="1"/>
  <c r="F62" i="1" s="1"/>
  <c r="G54" i="1"/>
  <c r="F54" i="1" s="1"/>
  <c r="G15" i="1"/>
  <c r="G28" i="1"/>
  <c r="F28" i="1" s="1"/>
  <c r="F27" i="1"/>
  <c r="G23" i="1"/>
  <c r="G21" i="1"/>
  <c r="F21" i="1" s="1"/>
  <c r="F20" i="1"/>
  <c r="F80" i="1"/>
  <c r="F81" i="1"/>
  <c r="F83" i="1"/>
  <c r="F84" i="1"/>
  <c r="F78" i="1"/>
  <c r="F53" i="1"/>
  <c r="F55" i="1"/>
  <c r="F56" i="1"/>
  <c r="F57" i="1"/>
  <c r="F58" i="1"/>
  <c r="F59" i="1"/>
  <c r="F61" i="1"/>
  <c r="F63" i="1"/>
  <c r="F64" i="1"/>
  <c r="F65" i="1"/>
  <c r="F66" i="1"/>
  <c r="F68" i="1"/>
  <c r="F69" i="1"/>
  <c r="F70" i="1"/>
  <c r="F72" i="1"/>
  <c r="F52" i="1"/>
  <c r="F41" i="1"/>
  <c r="F49" i="1" s="1"/>
  <c r="F10" i="1"/>
  <c r="F11" i="1"/>
  <c r="F12" i="1"/>
  <c r="F13" i="1"/>
  <c r="F14" i="1"/>
  <c r="F16" i="1"/>
  <c r="F17" i="1"/>
  <c r="F19" i="1" s="1"/>
  <c r="F18" i="1"/>
  <c r="F22" i="1"/>
  <c r="F24" i="1"/>
  <c r="F25" i="1"/>
  <c r="F26" i="1"/>
  <c r="F29" i="1"/>
  <c r="F31" i="1"/>
  <c r="F32" i="1"/>
  <c r="F33" i="1"/>
  <c r="F34" i="1"/>
  <c r="F35" i="1"/>
  <c r="F36" i="1"/>
  <c r="F37" i="1"/>
  <c r="F9" i="1"/>
  <c r="G207" i="2" l="1"/>
  <c r="L220" i="2"/>
  <c r="F23" i="1"/>
  <c r="G38" i="1"/>
  <c r="F38" i="1"/>
  <c r="G151" i="2"/>
  <c r="G187" i="2"/>
  <c r="G176" i="2"/>
  <c r="G193" i="2"/>
  <c r="I220" i="2"/>
  <c r="G147" i="2"/>
  <c r="G133" i="2"/>
  <c r="G165" i="2"/>
  <c r="G170" i="2" s="1"/>
  <c r="G51" i="2"/>
  <c r="G77" i="2"/>
  <c r="G70" i="2"/>
  <c r="G71" i="2" s="1"/>
  <c r="G119" i="2"/>
  <c r="G37" i="2"/>
  <c r="G105" i="2"/>
  <c r="G10" i="2"/>
  <c r="G23" i="2" s="1"/>
  <c r="G28" i="2" s="1"/>
  <c r="H23" i="2"/>
  <c r="H28" i="2" s="1"/>
  <c r="H220" i="2" s="1"/>
  <c r="G85" i="1"/>
  <c r="F85" i="1" s="1"/>
  <c r="G75" i="1"/>
  <c r="F15" i="1"/>
  <c r="G212" i="2" l="1"/>
  <c r="G56" i="2"/>
  <c r="G120" i="2"/>
  <c r="F75" i="1"/>
  <c r="G220" i="2" l="1"/>
</calcChain>
</file>

<file path=xl/sharedStrings.xml><?xml version="1.0" encoding="utf-8"?>
<sst xmlns="http://schemas.openxmlformats.org/spreadsheetml/2006/main" count="681" uniqueCount="356">
  <si>
    <t>1.pielikums</t>
  </si>
  <si>
    <t>Ventspils novada domes</t>
  </si>
  <si>
    <t>Ventspils novada pašvaldība</t>
  </si>
  <si>
    <t>EKK2</t>
  </si>
  <si>
    <t>EKK3</t>
  </si>
  <si>
    <t>EKK4</t>
  </si>
  <si>
    <t>Budžeta plāns, EUR</t>
  </si>
  <si>
    <t>IEN</t>
  </si>
  <si>
    <t>1.0.0.0.</t>
  </si>
  <si>
    <t>1.1.0.0.</t>
  </si>
  <si>
    <t>Ieņēmumi no iedzīvotāju ienākuma nodokļa</t>
  </si>
  <si>
    <t>Kopā</t>
  </si>
  <si>
    <t>10.0.0.0.</t>
  </si>
  <si>
    <t>10.1.0.0</t>
  </si>
  <si>
    <t>Naudas sodi</t>
  </si>
  <si>
    <t>12.0.0.0.</t>
  </si>
  <si>
    <t>12.2.0.0.</t>
  </si>
  <si>
    <t>Nenodokļu ieņēmumi un ieņēmumi no zaudējumu atlīdzībām un kompensācijām</t>
  </si>
  <si>
    <t>12.3.0.0.</t>
  </si>
  <si>
    <t>Dažādi nenodokļu ieņēmumi</t>
  </si>
  <si>
    <t>13.0.0.0.</t>
  </si>
  <si>
    <t>13.1.0.0.</t>
  </si>
  <si>
    <t>Ieņēmumi no ēku un būvju īpašuma pārdošanas</t>
  </si>
  <si>
    <t>13.2.0.0.</t>
  </si>
  <si>
    <t>Ieņēmumi no zemes, meža īpašuma pārdošanas</t>
  </si>
  <si>
    <t>13.4.0.0.</t>
  </si>
  <si>
    <t>Ieņēmumi no pašvaldību kustamā īpašuma un mantas realizācijas</t>
  </si>
  <si>
    <t>18.0.0.0.</t>
  </si>
  <si>
    <t>18.6.0.0.</t>
  </si>
  <si>
    <t>Pašvaldību saņemtie transferti no valsts budžeta</t>
  </si>
  <si>
    <t>19.0.0.0.</t>
  </si>
  <si>
    <t>19.2.0.0.</t>
  </si>
  <si>
    <t>Pašvaldību saņemtie transferti  no citām pašvaldībām</t>
  </si>
  <si>
    <t>21.3.0.0.</t>
  </si>
  <si>
    <t>Ieņēmumi no iestāžu sniegtajiem maksas pakalpojumiem un citi pašu ieņēmumi</t>
  </si>
  <si>
    <t>4.0.0.0.</t>
  </si>
  <si>
    <t>4.1.0.0.</t>
  </si>
  <si>
    <t>Nekustamā īpašuma nodoklis</t>
  </si>
  <si>
    <t>5.0.0.0.</t>
  </si>
  <si>
    <t>5.5.3.1.</t>
  </si>
  <si>
    <t>Dabas resursu nodoklis par dabas resursu ieguvi un vides piesārņošanu</t>
  </si>
  <si>
    <t>8.0.0.0.</t>
  </si>
  <si>
    <t>8.6.0.0.</t>
  </si>
  <si>
    <t>Procentu ieņēmumi par depozītiem, kontu atlikumiem, valsts parāda vērtspapīriem un atlikto maksājumu</t>
  </si>
  <si>
    <t>9.0.0.0.</t>
  </si>
  <si>
    <t>9.4.0.0.</t>
  </si>
  <si>
    <t>Valsts nodevas, kuras ieskaita pašvaldību budžetā</t>
  </si>
  <si>
    <t>9.5.0.0.</t>
  </si>
  <si>
    <t>Pašvaldību nodevas</t>
  </si>
  <si>
    <t>KOPĀ</t>
  </si>
  <si>
    <t>IEŅĒMUMI</t>
  </si>
  <si>
    <t>IZM</t>
  </si>
  <si>
    <t>Izdevumi pēc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</si>
  <si>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</si>
  <si>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</si>
  <si>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</si>
  <si>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</si>
  <si>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</si>
  <si>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</si>
  <si>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</si>
  <si>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</si>
  <si>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</si>
  <si>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</si>
  <si>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</si>
  <si>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</si>
  <si>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</si>
  <si>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</si>
  <si>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pēc funkcionālajām kategorijām</t>
  </si>
  <si>
    <t>Izdevumi pēc ekonomiskajām kategorijām</t>
  </si>
  <si>
    <t>1000</t>
  </si>
  <si>
    <t>1100</t>
  </si>
  <si>
    <t xml:space="preserve">Atalgojums </t>
  </si>
  <si>
    <t>1200</t>
  </si>
  <si>
    <t>Darba devēja valsts sociālās apdrošināšanas obligātās iemaksas, pabalsti un kompensācijas</t>
  </si>
  <si>
    <t>2000</t>
  </si>
  <si>
    <t>2100</t>
  </si>
  <si>
    <t>Mācību, darba un dienesta komandējumi, darba braucieni</t>
  </si>
  <si>
    <t>2200</t>
  </si>
  <si>
    <t>Pakalpojumi</t>
  </si>
  <si>
    <t>2300</t>
  </si>
  <si>
    <t>Krājumi, materiāli, energoresursi, preces, biroja preces un inventārs, kurus neuzskaita kodā 5000</t>
  </si>
  <si>
    <t>2400</t>
  </si>
  <si>
    <t>Izdevumi periodikas iegādei bibliotēku krājumiem</t>
  </si>
  <si>
    <t>2500</t>
  </si>
  <si>
    <t>Budžeta iestāžu nodokļu, nodevu un sankciju maksājumi</t>
  </si>
  <si>
    <t>3000</t>
  </si>
  <si>
    <t>3200</t>
  </si>
  <si>
    <t>Subsīdijas un dotācijas komersantiem, biedrībām, nodibinājumiem un fiziskām personām</t>
  </si>
  <si>
    <t>4000</t>
  </si>
  <si>
    <t>4300</t>
  </si>
  <si>
    <t>Pārējie procentu maksājumi</t>
  </si>
  <si>
    <t>5000</t>
  </si>
  <si>
    <t>5100</t>
  </si>
  <si>
    <t>Nemateriālie ieguldījumi</t>
  </si>
  <si>
    <t>5200</t>
  </si>
  <si>
    <t>Pamatlīdzekļi, ieguldījuma īpašumi un bioloģiskie aktīvi</t>
  </si>
  <si>
    <t>6000</t>
  </si>
  <si>
    <t>6200</t>
  </si>
  <si>
    <t>Pensijas un sociālie pabalsti naudā</t>
  </si>
  <si>
    <t>6300</t>
  </si>
  <si>
    <t>Sociālie pabalsti natūrā</t>
  </si>
  <si>
    <t>6400</t>
  </si>
  <si>
    <t>Pārējie klasifikācijā neminētie maksājumi iedzīvotājiem natūrā un kompensācijas</t>
  </si>
  <si>
    <t>7000</t>
  </si>
  <si>
    <t>7200</t>
  </si>
  <si>
    <t>Pašvaldību transferti un uzturēšanas izdevumu transferti</t>
  </si>
  <si>
    <t>IZDEVUMI pēc ekonomiskajām kategorijām</t>
  </si>
  <si>
    <t>BF</t>
  </si>
  <si>
    <t>Finansēšana</t>
  </si>
  <si>
    <t>F20010000</t>
  </si>
  <si>
    <t>F22010010</t>
  </si>
  <si>
    <t>Pieprasījuma noguldījumi</t>
  </si>
  <si>
    <t>F40020000</t>
  </si>
  <si>
    <t>F40320010</t>
  </si>
  <si>
    <t>Saņemtie ilgtermiņa aizņēmumi</t>
  </si>
  <si>
    <t>F40320020</t>
  </si>
  <si>
    <t>Saņemto ilgtermiņa aizņēmumu atmaksa</t>
  </si>
  <si>
    <t>FINANSĒŠANA</t>
  </si>
  <si>
    <t>2.pielikums</t>
  </si>
  <si>
    <t>Vf2</t>
  </si>
  <si>
    <t>Vf6</t>
  </si>
  <si>
    <t>Iestādes/struktūrvienības</t>
  </si>
  <si>
    <t>1000 - atlīdzība</t>
  </si>
  <si>
    <t>2000 - preces un pakalpojumi</t>
  </si>
  <si>
    <t>3000 - subsīdijas, dotācijas</t>
  </si>
  <si>
    <t>4000 - procentu izdevumi</t>
  </si>
  <si>
    <t>5000 - pamatkapitāla veidošana</t>
  </si>
  <si>
    <t>6000 - sociāla rakstura maksājumi un kompensācijas</t>
  </si>
  <si>
    <t>7000 - transferti</t>
  </si>
  <si>
    <t>01.110</t>
  </si>
  <si>
    <t>Pašvaldības administrācija un pagastu pārvalžu administrācijas</t>
  </si>
  <si>
    <t>01</t>
  </si>
  <si>
    <t>02.01</t>
  </si>
  <si>
    <t>Ances pagasta pārvalde</t>
  </si>
  <si>
    <t>03.01</t>
  </si>
  <si>
    <t>Piltenes pilsētas, pagasta pārvalde</t>
  </si>
  <si>
    <t>04.01</t>
  </si>
  <si>
    <t>Popes pagasta pārvalde</t>
  </si>
  <si>
    <t>05.01</t>
  </si>
  <si>
    <t>Puzes pagasta  pārvalde</t>
  </si>
  <si>
    <t>06.01</t>
  </si>
  <si>
    <t>Jūrkalnes pagasta pārvalde</t>
  </si>
  <si>
    <t>07.01</t>
  </si>
  <si>
    <t>Tārgales pagasta pārvalde</t>
  </si>
  <si>
    <t>08.01</t>
  </si>
  <si>
    <t>Ugāles pagasta pārvalde</t>
  </si>
  <si>
    <t>09.01</t>
  </si>
  <si>
    <t>Usmas pagasta pārvalde</t>
  </si>
  <si>
    <t>10.01</t>
  </si>
  <si>
    <t>Užavas pagasta pārvalde</t>
  </si>
  <si>
    <t>11.01</t>
  </si>
  <si>
    <t>Vārves pagasta pārvalde</t>
  </si>
  <si>
    <t>12.01</t>
  </si>
  <si>
    <t>Zlēku pagasta pārvalde</t>
  </si>
  <si>
    <t>13.01</t>
  </si>
  <si>
    <t>Ziru pagasta pārvalde</t>
  </si>
  <si>
    <t>01.600</t>
  </si>
  <si>
    <t>Nesadalītā rezerve un rezerves konkrētiem mērķiem</t>
  </si>
  <si>
    <t>01.721</t>
  </si>
  <si>
    <t>Valsts kases procentu un apkalpošanas maksa</t>
  </si>
  <si>
    <t>01.000 Vispārējie valdības dienesti</t>
  </si>
  <si>
    <t>04.210</t>
  </si>
  <si>
    <t>Rezerves Nī darījumiem</t>
  </si>
  <si>
    <t>04.240</t>
  </si>
  <si>
    <t>Ūdenstilpņu, to teritoriju uzturēšana, aizsardzība</t>
  </si>
  <si>
    <t>04.510</t>
  </si>
  <si>
    <t xml:space="preserve">Ceļu uzturēšana </t>
  </si>
  <si>
    <t>04.740</t>
  </si>
  <si>
    <t>Projekti</t>
  </si>
  <si>
    <t>04.900</t>
  </si>
  <si>
    <t>NVA projekts</t>
  </si>
  <si>
    <t>04.000 Ekonomiskā darbība</t>
  </si>
  <si>
    <t>05.600</t>
  </si>
  <si>
    <t>Vides aizsardzība (DRN)</t>
  </si>
  <si>
    <t>05.000 Vides aizsardzība</t>
  </si>
  <si>
    <t>06.601</t>
  </si>
  <si>
    <t>Rezerves konkrētiem mērķiem</t>
  </si>
  <si>
    <t>06.6012</t>
  </si>
  <si>
    <t>Decentralizētā siltumapgāde atsevišķās pašvaldības ēkās</t>
  </si>
  <si>
    <t>06.60131</t>
  </si>
  <si>
    <t>Apsaimniekošana</t>
  </si>
  <si>
    <t>06.60132</t>
  </si>
  <si>
    <t>Īre</t>
  </si>
  <si>
    <t>06.6014</t>
  </si>
  <si>
    <t>Pašvaldības nedzīvojamā fonda uzturēšana</t>
  </si>
  <si>
    <t>06.602</t>
  </si>
  <si>
    <t>Teritorijas labiekārtošana</t>
  </si>
  <si>
    <t>06.000 Teritoriju un mājokļu apsaimniekošana</t>
  </si>
  <si>
    <t>08.100</t>
  </si>
  <si>
    <t>Atpūtas un sporta pasākumi</t>
  </si>
  <si>
    <t>Ances muiža</t>
  </si>
  <si>
    <t>Piltenes sporta stadions</t>
  </si>
  <si>
    <t>Popes sporta angārs</t>
  </si>
  <si>
    <t>05.02</t>
  </si>
  <si>
    <t>Puzes jauniešu centrs "Avots"</t>
  </si>
  <si>
    <t>Ventavas sabiedriskais centrs</t>
  </si>
  <si>
    <t>11.042</t>
  </si>
  <si>
    <t>Bērnu rotaļu un attīst.centrs "Tīne"</t>
  </si>
  <si>
    <t>11.043</t>
  </si>
  <si>
    <t>Jauniešu centrs "Ligzda"</t>
  </si>
  <si>
    <t>Zlēku sociāli sabiedriskais centrs</t>
  </si>
  <si>
    <t>15.01</t>
  </si>
  <si>
    <t>Izglītības pārvalde - jauniešu lietas</t>
  </si>
  <si>
    <t>08.210</t>
  </si>
  <si>
    <t>Bibliotēkas</t>
  </si>
  <si>
    <t>02.05</t>
  </si>
  <si>
    <t>Ances bibliotēka</t>
  </si>
  <si>
    <t>03.05</t>
  </si>
  <si>
    <t>Piltenes bibliotēka</t>
  </si>
  <si>
    <t>04.05</t>
  </si>
  <si>
    <t>Popes bibliotēka</t>
  </si>
  <si>
    <t>05.05</t>
  </si>
  <si>
    <t>Puzes bibliotēka</t>
  </si>
  <si>
    <t>06.05</t>
  </si>
  <si>
    <t>Jūrkalnes bibliotēka</t>
  </si>
  <si>
    <t>07.05</t>
  </si>
  <si>
    <t>Tārgales bibliotēka</t>
  </si>
  <si>
    <t>08.05</t>
  </si>
  <si>
    <t>Ugāles bibliotēka</t>
  </si>
  <si>
    <t>09.05</t>
  </si>
  <si>
    <t>Usmas bibliotēka</t>
  </si>
  <si>
    <t>10.05</t>
  </si>
  <si>
    <t>Užavas bibliotēka</t>
  </si>
  <si>
    <t>11.051</t>
  </si>
  <si>
    <t>Vārves bibliotēka</t>
  </si>
  <si>
    <t>11.052</t>
  </si>
  <si>
    <t>Zūru bibliotēka</t>
  </si>
  <si>
    <t>12.05</t>
  </si>
  <si>
    <t>Zlēku bibliotēka</t>
  </si>
  <si>
    <t>13.05</t>
  </si>
  <si>
    <t>Ziru bibliotēka</t>
  </si>
  <si>
    <t>08.220</t>
  </si>
  <si>
    <t>Novadpētniecības ekspozīcijas</t>
  </si>
  <si>
    <t>03.042</t>
  </si>
  <si>
    <t>Piltenes novadpētniecības ekspozīcija</t>
  </si>
  <si>
    <t>Jūrkalnes novadpētniecības ekspozīcija</t>
  </si>
  <si>
    <t>11.044</t>
  </si>
  <si>
    <t>Zūru novadpētniecības ekspozīcija</t>
  </si>
  <si>
    <t>08.230</t>
  </si>
  <si>
    <t>Kultūras centri, nami, klubi</t>
  </si>
  <si>
    <t>Ventspils novada kultūras nodaļa</t>
  </si>
  <si>
    <t>02.04</t>
  </si>
  <si>
    <t>Ances kultūras nams</t>
  </si>
  <si>
    <t>03.041</t>
  </si>
  <si>
    <t>Piltenes kultūras nams</t>
  </si>
  <si>
    <t>04.04</t>
  </si>
  <si>
    <t>Popes kultūras nams</t>
  </si>
  <si>
    <t>05.04</t>
  </si>
  <si>
    <t>Puzes kultūras nams</t>
  </si>
  <si>
    <t>06.04</t>
  </si>
  <si>
    <t>Jūrkalnes tautas nams</t>
  </si>
  <si>
    <t>07.04</t>
  </si>
  <si>
    <t>Tārgales kultūras nodaļa</t>
  </si>
  <si>
    <t>08.04</t>
  </si>
  <si>
    <t>Ugāles kultūras nams</t>
  </si>
  <si>
    <t>09.04</t>
  </si>
  <si>
    <t>Usmas tautas nams</t>
  </si>
  <si>
    <t>10.04</t>
  </si>
  <si>
    <t>Užavas tautas nams</t>
  </si>
  <si>
    <t>11.041</t>
  </si>
  <si>
    <t>Vārves kultūras nams</t>
  </si>
  <si>
    <t>12.04</t>
  </si>
  <si>
    <t>Zlēku kultūras nams</t>
  </si>
  <si>
    <t>13.04</t>
  </si>
  <si>
    <t>Ziru tautas nams</t>
  </si>
  <si>
    <t>08.330</t>
  </si>
  <si>
    <t>Izdevniecībai</t>
  </si>
  <si>
    <t>Informatīvais laikraksts -Ventspils novadnieks</t>
  </si>
  <si>
    <t>08.000 Atpūta, kultūra un reliģija</t>
  </si>
  <si>
    <t>09.100</t>
  </si>
  <si>
    <t xml:space="preserve">Pirmsskolas izglītība </t>
  </si>
  <si>
    <t>03.03</t>
  </si>
  <si>
    <t>Piltenes PII "Taurenītis"</t>
  </si>
  <si>
    <t>04.03</t>
  </si>
  <si>
    <t>Popes PII "Zemenīte"</t>
  </si>
  <si>
    <t>08.03</t>
  </si>
  <si>
    <t>Ugāles PII "Lācītis"</t>
  </si>
  <si>
    <t>11.03</t>
  </si>
  <si>
    <t>Vārves PII "Zīļuks"</t>
  </si>
  <si>
    <t>12.03</t>
  </si>
  <si>
    <t>Zlēku PII "Rūķītis"</t>
  </si>
  <si>
    <t>09.219</t>
  </si>
  <si>
    <t>Vispārējās izglītības mācību iestādes</t>
  </si>
  <si>
    <t>02.02</t>
  </si>
  <si>
    <t>Ances pamatskola</t>
  </si>
  <si>
    <t>03.02</t>
  </si>
  <si>
    <t xml:space="preserve">Piltenes pamatskola </t>
  </si>
  <si>
    <t>04.02</t>
  </si>
  <si>
    <t>Popes pamatskola</t>
  </si>
  <si>
    <t>Puzes pamatskola</t>
  </si>
  <si>
    <t>07.02</t>
  </si>
  <si>
    <t>Tārgales pamatskola</t>
  </si>
  <si>
    <t>08.02</t>
  </si>
  <si>
    <t>Ugāles vidusskola</t>
  </si>
  <si>
    <t>10.02</t>
  </si>
  <si>
    <t>Užavas pamatskola</t>
  </si>
  <si>
    <t>11.02</t>
  </si>
  <si>
    <t>Zūru pamatskola</t>
  </si>
  <si>
    <t>Izglītības pārvalde</t>
  </si>
  <si>
    <t>09.510</t>
  </si>
  <si>
    <t>Interešu un profesionālās ievirzes izglītība</t>
  </si>
  <si>
    <t>03.06</t>
  </si>
  <si>
    <t>Piltenes Mūzikas skolas</t>
  </si>
  <si>
    <t>08.06</t>
  </si>
  <si>
    <t>Ugāles Mūzikas un mākslas skola</t>
  </si>
  <si>
    <t>15.03</t>
  </si>
  <si>
    <t>Bērnu un jaunatnes sporta skola</t>
  </si>
  <si>
    <t>09.600</t>
  </si>
  <si>
    <t>Skolēnu pārvadājumi</t>
  </si>
  <si>
    <t>09.810</t>
  </si>
  <si>
    <t>Pārējā izglītības vadība</t>
  </si>
  <si>
    <t>09.811</t>
  </si>
  <si>
    <t>Atbalsts izglītojamo individuālo kompetenču attīstībai</t>
  </si>
  <si>
    <t>09.000 Izglītība</t>
  </si>
  <si>
    <t>10.400</t>
  </si>
  <si>
    <t>Atbalsts ģimenēm ar bērniem,bāriņtiesa</t>
  </si>
  <si>
    <t>18</t>
  </si>
  <si>
    <t>Bāriņtiesa</t>
  </si>
  <si>
    <t>10.700</t>
  </si>
  <si>
    <t>Pārējais citur neklasificēts atbalsts sociāli atstumtām personām</t>
  </si>
  <si>
    <t>10.910</t>
  </si>
  <si>
    <t>Pārējās citur neklasificētās sociālās aizsardzības pārraudzība</t>
  </si>
  <si>
    <t>14</t>
  </si>
  <si>
    <t>Sociālais dienests</t>
  </si>
  <si>
    <t>10.000 Sociālā aizsardzība</t>
  </si>
  <si>
    <t>3.pielikums</t>
  </si>
  <si>
    <t>F55010000</t>
  </si>
  <si>
    <t>F55010003</t>
  </si>
  <si>
    <t>Līdzdalība radniecīgo uzņēmumu kapitālā, kas nav akcijas</t>
  </si>
  <si>
    <t>Budžeta grozījumi, EUR</t>
  </si>
  <si>
    <t>Budžeta plāns ar grozījumiem, EUR</t>
  </si>
  <si>
    <t>GROZĪJUMI KONSOLIDĒTA PAMATBUDŽETA PLĀNOTO IEŅĒMUMU UN IZDEVUMU TĀME 2023.GADAM</t>
  </si>
  <si>
    <t>17.0.0.0.</t>
  </si>
  <si>
    <t>17.2.0.0.</t>
  </si>
  <si>
    <t>Pašvaldību saņemtie transferti no valsts budžeta daļēji finansētām atvasinātām publiskām personām un no budžeta nefinansētām iestādēm</t>
  </si>
  <si>
    <t>21.4.0.0.</t>
  </si>
  <si>
    <t>21.0.0.0.</t>
  </si>
  <si>
    <t>Pārējie neklasificētie iestāžu ieņēmumi par iestāžu sniegtajiem maksas pakalpojumiem un citi pašu ieņēmumi</t>
  </si>
  <si>
    <t>Pārējie valsts budžeta uzturēšanas transferti citiem budžetiem</t>
  </si>
  <si>
    <t>07.000</t>
  </si>
  <si>
    <t>Veselība</t>
  </si>
  <si>
    <t>07.210</t>
  </si>
  <si>
    <t>Ziru feldšeru punkts</t>
  </si>
  <si>
    <t>07.000 Veselība</t>
  </si>
  <si>
    <t>Ambulatorās ārstniecības iestādes</t>
  </si>
  <si>
    <t>08.290</t>
  </si>
  <si>
    <t>Pārējā neklasificētā kultūra</t>
  </si>
  <si>
    <t>Dziesmu svētki</t>
  </si>
  <si>
    <t>23.0.0.0.</t>
  </si>
  <si>
    <t>23.4.0.0.</t>
  </si>
  <si>
    <t>Juridisku personu ziedojumi un dāvinājumi naudā</t>
  </si>
  <si>
    <t>23.5.0.0.</t>
  </si>
  <si>
    <t>Fizisko personu ziedojumi un dāvinājumi naudā</t>
  </si>
  <si>
    <t>GROZĪTA KONSOLIDĒTA ZIEDOJUMU BUDŽETA PLĀNOTO IEŅĒMUMU UN IZDEVUMU TĀME 2023.GADAM</t>
  </si>
  <si>
    <t>KONSOLIDĒTA PAMATBUDŽETA PLĀNOTO IZDEVUMU TĀME 2023.GADAM PA IESTĀDĒM UN STRUKTŪRVIENĪBĀM (pēc funkcionālajām kategorijām) AR GROZĪJUMIEM</t>
  </si>
  <si>
    <t>30.11.2023. saistošajiem noteikumiem Nr.9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</si>
</sst>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8"/>
      <name val="Tahoma"/>
      <family val="2"/>
      <charset val="186"/>
    </font>
    <font>
      <sz val="10"/>
      <name val="Times New Roman"/>
      <family val="1"/>
      <charset val="186"/>
    </font>
    <font>
      <b/>
      <sz val="8"/>
      <name val="Tahoma"/>
      <family val="2"/>
      <charset val="186"/>
    </font>
    <font>
      <sz val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2" applyNumberFormat="0" applyAlignment="0" applyProtection="0"/>
    <xf numFmtId="0" fontId="16" fillId="24" borderId="13" applyNumberFormat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2" applyNumberFormat="0" applyAlignment="0" applyProtection="0"/>
    <xf numFmtId="0" fontId="23" fillId="0" borderId="17" applyNumberFormat="0" applyFill="0" applyAlignment="0" applyProtection="0"/>
    <xf numFmtId="0" fontId="24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8" applyNumberFormat="0" applyAlignment="0" applyProtection="0"/>
    <xf numFmtId="0" fontId="25" fillId="23" borderId="19" applyNumberFormat="0" applyAlignment="0" applyProtection="0"/>
    <xf numFmtId="0" fontId="26" fillId="0" borderId="0"/>
    <xf numFmtId="0" fontId="2" fillId="0" borderId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165" fontId="29" fillId="23" borderId="0" applyBorder="0" applyProtection="0"/>
    <xf numFmtId="0" fontId="30" fillId="0" borderId="0" applyNumberFormat="0" applyFill="0" applyBorder="0" applyAlignment="0" applyProtection="0"/>
    <xf numFmtId="0" fontId="12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2" fillId="0" borderId="0" xfId="0" applyFont="1"/>
    <xf numFmtId="0" fontId="4" fillId="0" borderId="0" xfId="1" applyFont="1" applyAlignment="1">
      <alignment wrapText="1"/>
    </xf>
    <xf numFmtId="0" fontId="2" fillId="0" borderId="0" xfId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wrapText="1"/>
    </xf>
    <xf numFmtId="0" fontId="6" fillId="0" borderId="0" xfId="0" applyFont="1"/>
    <xf numFmtId="0" fontId="5" fillId="0" borderId="0" xfId="0" applyFont="1"/>
    <xf numFmtId="0" fontId="7" fillId="0" borderId="0" xfId="1" applyFont="1"/>
    <xf numFmtId="0" fontId="8" fillId="0" borderId="0" xfId="1" applyFont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2" fillId="0" borderId="0" xfId="2"/>
    <xf numFmtId="0" fontId="11" fillId="0" borderId="0" xfId="1" applyFont="1" applyAlignment="1">
      <alignment wrapText="1"/>
    </xf>
    <xf numFmtId="0" fontId="2" fillId="0" borderId="0" xfId="0" applyFont="1" applyAlignment="1">
      <alignment horizontal="center"/>
    </xf>
    <xf numFmtId="3" fontId="9" fillId="3" borderId="1" xfId="0" applyNumberFormat="1" applyFont="1" applyFill="1" applyBorder="1" applyAlignment="1">
      <alignment horizontal="right" vertical="center"/>
    </xf>
    <xf numFmtId="0" fontId="10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4" fillId="0" borderId="0" xfId="1" applyFont="1" applyAlignment="1">
      <alignment horizontal="right" wrapText="1"/>
    </xf>
    <xf numFmtId="0" fontId="7" fillId="0" borderId="0" xfId="1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</cellXfs>
  <cellStyles count="107">
    <cellStyle name="20% - Accent1 2 2" xfId="5" xr:uid="{00000000-0005-0000-0000-000000000000}"/>
    <cellStyle name="20% - Accent1 2 2 2" xfId="6" xr:uid="{00000000-0005-0000-0000-000001000000}"/>
    <cellStyle name="20% - Accent1 2 2 3" xfId="7" xr:uid="{00000000-0005-0000-0000-000002000000}"/>
    <cellStyle name="20% - Accent2 2 2" xfId="8" xr:uid="{00000000-0005-0000-0000-000003000000}"/>
    <cellStyle name="20% - Accent2 2 2 2" xfId="9" xr:uid="{00000000-0005-0000-0000-000004000000}"/>
    <cellStyle name="20% - Accent2 2 2 3" xfId="10" xr:uid="{00000000-0005-0000-0000-000005000000}"/>
    <cellStyle name="20% - Accent3 2 2" xfId="11" xr:uid="{00000000-0005-0000-0000-000006000000}"/>
    <cellStyle name="20% - Accent3 2 2 2" xfId="12" xr:uid="{00000000-0005-0000-0000-000007000000}"/>
    <cellStyle name="20% - Accent3 2 2 3" xfId="13" xr:uid="{00000000-0005-0000-0000-000008000000}"/>
    <cellStyle name="20% - Accent4 2 2" xfId="14" xr:uid="{00000000-0005-0000-0000-000009000000}"/>
    <cellStyle name="20% - Accent4 2 2 2" xfId="15" xr:uid="{00000000-0005-0000-0000-00000A000000}"/>
    <cellStyle name="20% - Accent4 2 2 3" xfId="16" xr:uid="{00000000-0005-0000-0000-00000B000000}"/>
    <cellStyle name="20% - Accent5 2 2" xfId="17" xr:uid="{00000000-0005-0000-0000-00000C000000}"/>
    <cellStyle name="20% - Accent5 2 2 2" xfId="18" xr:uid="{00000000-0005-0000-0000-00000D000000}"/>
    <cellStyle name="20% - Accent5 2 2 3" xfId="19" xr:uid="{00000000-0005-0000-0000-00000E000000}"/>
    <cellStyle name="20% - Accent6 2 2" xfId="20" xr:uid="{00000000-0005-0000-0000-00000F000000}"/>
    <cellStyle name="20% - Accent6 2 2 2" xfId="21" xr:uid="{00000000-0005-0000-0000-000010000000}"/>
    <cellStyle name="20% - Accent6 2 2 3" xfId="22" xr:uid="{00000000-0005-0000-0000-000011000000}"/>
    <cellStyle name="40% - Accent1 2 2" xfId="23" xr:uid="{00000000-0005-0000-0000-000012000000}"/>
    <cellStyle name="40% - Accent1 2 2 2" xfId="24" xr:uid="{00000000-0005-0000-0000-000013000000}"/>
    <cellStyle name="40% - Accent1 2 2 3" xfId="25" xr:uid="{00000000-0005-0000-0000-000014000000}"/>
    <cellStyle name="40% - Accent2 2 2" xfId="26" xr:uid="{00000000-0005-0000-0000-000015000000}"/>
    <cellStyle name="40% - Accent2 2 2 2" xfId="27" xr:uid="{00000000-0005-0000-0000-000016000000}"/>
    <cellStyle name="40% - Accent2 2 2 3" xfId="28" xr:uid="{00000000-0005-0000-0000-000017000000}"/>
    <cellStyle name="40% - Accent3 2 2" xfId="29" xr:uid="{00000000-0005-0000-0000-000018000000}"/>
    <cellStyle name="40% - Accent3 2 2 2" xfId="30" xr:uid="{00000000-0005-0000-0000-000019000000}"/>
    <cellStyle name="40% - Accent3 2 2 3" xfId="31" xr:uid="{00000000-0005-0000-0000-00001A000000}"/>
    <cellStyle name="40% - Accent4 2 2" xfId="32" xr:uid="{00000000-0005-0000-0000-00001B000000}"/>
    <cellStyle name="40% - Accent4 2 2 2" xfId="33" xr:uid="{00000000-0005-0000-0000-00001C000000}"/>
    <cellStyle name="40% - Accent4 2 2 3" xfId="34" xr:uid="{00000000-0005-0000-0000-00001D000000}"/>
    <cellStyle name="40% - Accent5 2 2" xfId="35" xr:uid="{00000000-0005-0000-0000-00001E000000}"/>
    <cellStyle name="40% - Accent5 2 2 2" xfId="36" xr:uid="{00000000-0005-0000-0000-00001F000000}"/>
    <cellStyle name="40% - Accent5 2 2 3" xfId="37" xr:uid="{00000000-0005-0000-0000-000020000000}"/>
    <cellStyle name="40% - Accent6 2 2" xfId="38" xr:uid="{00000000-0005-0000-0000-000021000000}"/>
    <cellStyle name="40% - Accent6 2 2 2" xfId="39" xr:uid="{00000000-0005-0000-0000-000022000000}"/>
    <cellStyle name="40% - Accent6 2 2 3" xfId="40" xr:uid="{00000000-0005-0000-0000-000023000000}"/>
    <cellStyle name="60% - Accent1 2 2" xfId="41" xr:uid="{00000000-0005-0000-0000-000024000000}"/>
    <cellStyle name="60% - Accent2 2 2" xfId="42" xr:uid="{00000000-0005-0000-0000-000025000000}"/>
    <cellStyle name="60% - Accent3 2 2" xfId="43" xr:uid="{00000000-0005-0000-0000-000026000000}"/>
    <cellStyle name="60% - Accent4 2 2" xfId="44" xr:uid="{00000000-0005-0000-0000-000027000000}"/>
    <cellStyle name="60% - Accent5 2 2" xfId="45" xr:uid="{00000000-0005-0000-0000-000028000000}"/>
    <cellStyle name="60% - Accent6 2 2" xfId="46" xr:uid="{00000000-0005-0000-0000-000029000000}"/>
    <cellStyle name="Accent1 2 2" xfId="47" xr:uid="{00000000-0005-0000-0000-00002A000000}"/>
    <cellStyle name="Accent2 2 2" xfId="48" xr:uid="{00000000-0005-0000-0000-00002B000000}"/>
    <cellStyle name="Accent3 2 2" xfId="49" xr:uid="{00000000-0005-0000-0000-00002C000000}"/>
    <cellStyle name="Accent4 2 2" xfId="50" xr:uid="{00000000-0005-0000-0000-00002D000000}"/>
    <cellStyle name="Accent5 2 2" xfId="51" xr:uid="{00000000-0005-0000-0000-00002E000000}"/>
    <cellStyle name="Accent6 2 2" xfId="52" xr:uid="{00000000-0005-0000-0000-00002F000000}"/>
    <cellStyle name="Bad 2 2" xfId="53" xr:uid="{00000000-0005-0000-0000-000030000000}"/>
    <cellStyle name="Calculation 2 2" xfId="54" xr:uid="{00000000-0005-0000-0000-000031000000}"/>
    <cellStyle name="Check Cell 2 2" xfId="55" xr:uid="{00000000-0005-0000-0000-000032000000}"/>
    <cellStyle name="Currency 2" xfId="56" xr:uid="{00000000-0005-0000-0000-000033000000}"/>
    <cellStyle name="Currency 2 2" xfId="57" xr:uid="{00000000-0005-0000-0000-000034000000}"/>
    <cellStyle name="Explanatory Text 2 2" xfId="58" xr:uid="{00000000-0005-0000-0000-000035000000}"/>
    <cellStyle name="Good 2 2" xfId="59" xr:uid="{00000000-0005-0000-0000-000036000000}"/>
    <cellStyle name="Heading 1 2 2" xfId="60" xr:uid="{00000000-0005-0000-0000-000037000000}"/>
    <cellStyle name="Heading 2 2 2" xfId="61" xr:uid="{00000000-0005-0000-0000-000038000000}"/>
    <cellStyle name="Heading 3 2 2" xfId="62" xr:uid="{00000000-0005-0000-0000-000039000000}"/>
    <cellStyle name="Heading 4 2 2" xfId="63" xr:uid="{00000000-0005-0000-0000-00003A000000}"/>
    <cellStyle name="Input 2 2" xfId="64" xr:uid="{00000000-0005-0000-0000-00003B000000}"/>
    <cellStyle name="Linked Cell 2 2" xfId="65" xr:uid="{00000000-0005-0000-0000-00003C000000}"/>
    <cellStyle name="Neutral 2 2" xfId="66" xr:uid="{00000000-0005-0000-0000-00003D000000}"/>
    <cellStyle name="Normal 10" xfId="67" xr:uid="{00000000-0005-0000-0000-00003E000000}"/>
    <cellStyle name="Normal 10 2" xfId="68" xr:uid="{00000000-0005-0000-0000-00003F000000}"/>
    <cellStyle name="Normal 11" xfId="69" xr:uid="{00000000-0005-0000-0000-000040000000}"/>
    <cellStyle name="Normal 11 2" xfId="70" xr:uid="{00000000-0005-0000-0000-000041000000}"/>
    <cellStyle name="Normal 12" xfId="71" xr:uid="{00000000-0005-0000-0000-000042000000}"/>
    <cellStyle name="Normal 12 2" xfId="72" xr:uid="{00000000-0005-0000-0000-000043000000}"/>
    <cellStyle name="Normal 13" xfId="73" xr:uid="{00000000-0005-0000-0000-000044000000}"/>
    <cellStyle name="Normal 13 2" xfId="74" xr:uid="{00000000-0005-0000-0000-000045000000}"/>
    <cellStyle name="Normal 14" xfId="75" xr:uid="{00000000-0005-0000-0000-000046000000}"/>
    <cellStyle name="Normal 14 2" xfId="76" xr:uid="{00000000-0005-0000-0000-000047000000}"/>
    <cellStyle name="Normal 15" xfId="77" xr:uid="{00000000-0005-0000-0000-000048000000}"/>
    <cellStyle name="Normal 15 2" xfId="78" xr:uid="{00000000-0005-0000-0000-000049000000}"/>
    <cellStyle name="Normal 16" xfId="79" xr:uid="{00000000-0005-0000-0000-00004A000000}"/>
    <cellStyle name="Normal 16 2" xfId="80" xr:uid="{00000000-0005-0000-0000-00004B000000}"/>
    <cellStyle name="Normal 18" xfId="81" xr:uid="{00000000-0005-0000-0000-00004C000000}"/>
    <cellStyle name="Normal 2" xfId="82" xr:uid="{00000000-0005-0000-0000-00004D000000}"/>
    <cellStyle name="Normal 2 2" xfId="83" xr:uid="{00000000-0005-0000-0000-00004E000000}"/>
    <cellStyle name="Normal 20" xfId="84" xr:uid="{00000000-0005-0000-0000-00004F000000}"/>
    <cellStyle name="Normal 20 2" xfId="85" xr:uid="{00000000-0005-0000-0000-000050000000}"/>
    <cellStyle name="Normal 21" xfId="86" xr:uid="{00000000-0005-0000-0000-000051000000}"/>
    <cellStyle name="Normal 21 2" xfId="87" xr:uid="{00000000-0005-0000-0000-000052000000}"/>
    <cellStyle name="Normal 3 2" xfId="1" xr:uid="{00000000-0005-0000-0000-000053000000}"/>
    <cellStyle name="Normal 4" xfId="88" xr:uid="{00000000-0005-0000-0000-000054000000}"/>
    <cellStyle name="Normal 4 2" xfId="89" xr:uid="{00000000-0005-0000-0000-000055000000}"/>
    <cellStyle name="Normal 4_7-4" xfId="90" xr:uid="{00000000-0005-0000-0000-000056000000}"/>
    <cellStyle name="Normal 5" xfId="91" xr:uid="{00000000-0005-0000-0000-000057000000}"/>
    <cellStyle name="Normal 5 2" xfId="92" xr:uid="{00000000-0005-0000-0000-000058000000}"/>
    <cellStyle name="Normal 8" xfId="93" xr:uid="{00000000-0005-0000-0000-000059000000}"/>
    <cellStyle name="Normal 8 2" xfId="94" xr:uid="{00000000-0005-0000-0000-00005A000000}"/>
    <cellStyle name="Normal 9" xfId="95" xr:uid="{00000000-0005-0000-0000-00005B000000}"/>
    <cellStyle name="Normal 9 2" xfId="96" xr:uid="{00000000-0005-0000-0000-00005C000000}"/>
    <cellStyle name="Normal_4.piel" xfId="4" xr:uid="{00000000-0005-0000-0000-00005D000000}"/>
    <cellStyle name="Note 2 2" xfId="97" xr:uid="{00000000-0005-0000-0000-000060000000}"/>
    <cellStyle name="Output 2 2" xfId="98" xr:uid="{00000000-0005-0000-0000-000061000000}"/>
    <cellStyle name="Parastais_FMLikp01_p05_221205_pap_afp_makp" xfId="99" xr:uid="{00000000-0005-0000-0000-000062000000}"/>
    <cellStyle name="Parasts" xfId="0" builtinId="0"/>
    <cellStyle name="Parasts 2" xfId="2" xr:uid="{00000000-0005-0000-0000-000064000000}"/>
    <cellStyle name="Parasts 2 2" xfId="3" xr:uid="{00000000-0005-0000-0000-000065000000}"/>
    <cellStyle name="Parasts 2 3" xfId="105" xr:uid="{00000000-0005-0000-0000-000066000000}"/>
    <cellStyle name="Parasts 3" xfId="106" xr:uid="{00000000-0005-0000-0000-000067000000}"/>
    <cellStyle name="Style 1" xfId="100" xr:uid="{00000000-0005-0000-0000-000068000000}"/>
    <cellStyle name="Title 2 2" xfId="101" xr:uid="{00000000-0005-0000-0000-000069000000}"/>
    <cellStyle name="Total 2 2" xfId="102" xr:uid="{00000000-0005-0000-0000-00006A000000}"/>
    <cellStyle name="V?st." xfId="103" xr:uid="{00000000-0005-0000-0000-00006B000000}"/>
    <cellStyle name="Warning Text 2 2" xfId="104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88"/>
  <sheetViews>
    <sheetView showGridLines="0" workbookViewId="0">
      <pane xSplit="4" ySplit="8" topLeftCell="E60" activePane="bottomRight" state="frozen"/>
      <selection pane="topRight" activeCell="E1" sqref="E1"/>
      <selection pane="bottomLeft" activeCell="A9" sqref="A9"/>
      <selection pane="bottomRight" activeCell="E3" sqref="E3:G3"/>
    </sheetView>
  </sheetViews>
  <sheetFormatPr defaultColWidth="8.85546875" defaultRowHeight="12.75"/>
  <cols>
    <col min="1" max="1" width="5.28515625" style="2" customWidth="1"/>
    <col min="2" max="2" width="9.140625" style="2" customWidth="1"/>
    <col min="3" max="3" width="9.5703125" style="2" customWidth="1"/>
    <col min="4" max="4" width="48.42578125" style="2" customWidth="1"/>
    <col min="5" max="6" width="12.5703125" style="2" customWidth="1"/>
    <col min="7" max="7" width="13.85546875" style="2" customWidth="1"/>
    <col min="8" max="16384" width="8.85546875" style="2"/>
  </cols>
  <sheetData>
    <row r="1" spans="1:11" ht="13.5" customHeight="1">
      <c r="A1" s="1"/>
      <c r="C1" s="3"/>
      <c r="D1" s="3"/>
      <c r="E1" s="42" t="s">
        <v>0</v>
      </c>
      <c r="F1" s="42"/>
      <c r="G1" s="42"/>
      <c r="K1" s="3"/>
    </row>
    <row r="2" spans="1:11" ht="13.5" customHeight="1">
      <c r="A2" s="4"/>
      <c r="C2" s="3"/>
      <c r="D2" s="3"/>
      <c r="E2" s="42" t="s">
        <v>1</v>
      </c>
      <c r="F2" s="42"/>
      <c r="G2" s="42"/>
      <c r="K2" s="3"/>
    </row>
    <row r="3" spans="1:11" ht="13.5" customHeight="1">
      <c r="A3" s="5"/>
      <c r="C3" s="3"/>
      <c r="D3" s="3"/>
      <c r="E3" s="42" t="s">
        <v>355</v>
      </c>
      <c r="F3" s="42"/>
      <c r="G3" s="42"/>
      <c r="K3" s="3"/>
    </row>
    <row r="4" spans="1:11" ht="10.5" customHeight="1">
      <c r="A4" s="6"/>
      <c r="C4" s="6"/>
      <c r="D4" s="6"/>
      <c r="E4" s="6"/>
      <c r="F4" s="6"/>
      <c r="G4" s="6"/>
      <c r="H4" s="8"/>
      <c r="I4" s="8"/>
      <c r="J4" s="8"/>
      <c r="K4" s="9"/>
    </row>
    <row r="5" spans="1:11" ht="18.75" customHeight="1">
      <c r="A5" s="43" t="s">
        <v>2</v>
      </c>
      <c r="B5" s="43"/>
      <c r="C5" s="43"/>
      <c r="D5" s="43"/>
      <c r="E5" s="43"/>
      <c r="F5" s="43"/>
      <c r="G5" s="43"/>
      <c r="H5" s="10"/>
      <c r="I5" s="10"/>
      <c r="J5" s="10"/>
      <c r="K5" s="10"/>
    </row>
    <row r="6" spans="1:11" ht="30" customHeight="1">
      <c r="A6" s="45" t="s">
        <v>331</v>
      </c>
      <c r="B6" s="45"/>
      <c r="C6" s="45"/>
      <c r="D6" s="45"/>
      <c r="E6" s="45"/>
      <c r="F6" s="45"/>
      <c r="G6" s="45"/>
      <c r="H6" s="11"/>
      <c r="I6" s="11"/>
      <c r="J6" s="11"/>
      <c r="K6" s="11"/>
    </row>
    <row r="7" spans="1:11" ht="10.5" customHeight="1"/>
    <row r="8" spans="1:11" s="33" customFormat="1" ht="33.75">
      <c r="A8" s="26" t="s">
        <v>3</v>
      </c>
      <c r="B8" s="26" t="s">
        <v>4</v>
      </c>
      <c r="C8" s="44" t="s">
        <v>5</v>
      </c>
      <c r="D8" s="44"/>
      <c r="E8" s="12" t="s">
        <v>6</v>
      </c>
      <c r="F8" s="12" t="s">
        <v>329</v>
      </c>
      <c r="G8" s="12" t="s">
        <v>330</v>
      </c>
    </row>
    <row r="9" spans="1:11">
      <c r="A9" s="37" t="s">
        <v>7</v>
      </c>
      <c r="B9" s="37" t="s">
        <v>8</v>
      </c>
      <c r="C9" s="13" t="s">
        <v>9</v>
      </c>
      <c r="D9" s="13" t="s">
        <v>10</v>
      </c>
      <c r="E9" s="14">
        <v>7446684</v>
      </c>
      <c r="F9" s="14">
        <f>G9-E9</f>
        <v>0</v>
      </c>
      <c r="G9" s="14">
        <v>7446684</v>
      </c>
    </row>
    <row r="10" spans="1:11">
      <c r="A10" s="37"/>
      <c r="B10" s="37"/>
      <c r="C10" s="38" t="s">
        <v>11</v>
      </c>
      <c r="D10" s="38"/>
      <c r="E10" s="15">
        <v>7446684</v>
      </c>
      <c r="F10" s="34">
        <f t="shared" ref="F10:F37" si="0">G10-E10</f>
        <v>0</v>
      </c>
      <c r="G10" s="15">
        <v>7446684</v>
      </c>
    </row>
    <row r="11" spans="1:11">
      <c r="A11" s="37"/>
      <c r="B11" s="37" t="s">
        <v>12</v>
      </c>
      <c r="C11" s="13" t="s">
        <v>13</v>
      </c>
      <c r="D11" s="13" t="s">
        <v>14</v>
      </c>
      <c r="E11" s="14">
        <v>11000</v>
      </c>
      <c r="F11" s="14">
        <f t="shared" si="0"/>
        <v>0</v>
      </c>
      <c r="G11" s="14">
        <v>11000</v>
      </c>
    </row>
    <row r="12" spans="1:11">
      <c r="A12" s="37"/>
      <c r="B12" s="37"/>
      <c r="C12" s="38" t="s">
        <v>11</v>
      </c>
      <c r="D12" s="38"/>
      <c r="E12" s="15">
        <v>11000</v>
      </c>
      <c r="F12" s="34">
        <f t="shared" si="0"/>
        <v>0</v>
      </c>
      <c r="G12" s="15">
        <v>11000</v>
      </c>
    </row>
    <row r="13" spans="1:11" ht="22.5">
      <c r="A13" s="37"/>
      <c r="B13" s="46" t="s">
        <v>15</v>
      </c>
      <c r="C13" s="13" t="s">
        <v>16</v>
      </c>
      <c r="D13" s="13" t="s">
        <v>17</v>
      </c>
      <c r="E13" s="14">
        <v>27000</v>
      </c>
      <c r="F13" s="14">
        <f t="shared" si="0"/>
        <v>0</v>
      </c>
      <c r="G13" s="14">
        <v>27000</v>
      </c>
    </row>
    <row r="14" spans="1:11">
      <c r="A14" s="37"/>
      <c r="B14" s="47"/>
      <c r="C14" s="13" t="s">
        <v>18</v>
      </c>
      <c r="D14" s="13" t="s">
        <v>19</v>
      </c>
      <c r="E14" s="14">
        <v>5500</v>
      </c>
      <c r="F14" s="14">
        <f t="shared" si="0"/>
        <v>9088</v>
      </c>
      <c r="G14" s="14">
        <v>14588</v>
      </c>
    </row>
    <row r="15" spans="1:11">
      <c r="A15" s="37"/>
      <c r="B15" s="48"/>
      <c r="C15" s="38" t="s">
        <v>11</v>
      </c>
      <c r="D15" s="38"/>
      <c r="E15" s="15">
        <v>32500</v>
      </c>
      <c r="F15" s="34">
        <f t="shared" si="0"/>
        <v>9088</v>
      </c>
      <c r="G15" s="15">
        <f>SUM(G13:G14)</f>
        <v>41588</v>
      </c>
    </row>
    <row r="16" spans="1:11">
      <c r="A16" s="37"/>
      <c r="B16" s="37" t="s">
        <v>20</v>
      </c>
      <c r="C16" s="13" t="s">
        <v>21</v>
      </c>
      <c r="D16" s="13" t="s">
        <v>22</v>
      </c>
      <c r="E16" s="14">
        <v>330000</v>
      </c>
      <c r="F16" s="14">
        <f t="shared" si="0"/>
        <v>-212563</v>
      </c>
      <c r="G16" s="14">
        <v>117437</v>
      </c>
      <c r="K16" s="16"/>
    </row>
    <row r="17" spans="1:7">
      <c r="A17" s="37"/>
      <c r="B17" s="37"/>
      <c r="C17" s="13" t="s">
        <v>23</v>
      </c>
      <c r="D17" s="13" t="s">
        <v>24</v>
      </c>
      <c r="E17" s="14">
        <v>350000</v>
      </c>
      <c r="F17" s="14">
        <f t="shared" si="0"/>
        <v>297563</v>
      </c>
      <c r="G17" s="14">
        <v>647563</v>
      </c>
    </row>
    <row r="18" spans="1:7">
      <c r="A18" s="37"/>
      <c r="B18" s="37"/>
      <c r="C18" s="13" t="s">
        <v>25</v>
      </c>
      <c r="D18" s="13" t="s">
        <v>26</v>
      </c>
      <c r="E18" s="14">
        <v>10000</v>
      </c>
      <c r="F18" s="14">
        <f t="shared" si="0"/>
        <v>-10000</v>
      </c>
      <c r="G18" s="14">
        <v>0</v>
      </c>
    </row>
    <row r="19" spans="1:7">
      <c r="A19" s="37"/>
      <c r="B19" s="37"/>
      <c r="C19" s="38" t="s">
        <v>11</v>
      </c>
      <c r="D19" s="38"/>
      <c r="E19" s="15">
        <f>SUM(E16:E18)</f>
        <v>690000</v>
      </c>
      <c r="F19" s="15">
        <f t="shared" ref="F19:G19" si="1">SUM(F16:F18)</f>
        <v>75000</v>
      </c>
      <c r="G19" s="15">
        <f t="shared" si="1"/>
        <v>765000</v>
      </c>
    </row>
    <row r="20" spans="1:7" ht="33.75">
      <c r="A20" s="37"/>
      <c r="B20" s="37" t="s">
        <v>332</v>
      </c>
      <c r="C20" s="13" t="s">
        <v>333</v>
      </c>
      <c r="D20" s="13" t="s">
        <v>334</v>
      </c>
      <c r="E20" s="14">
        <v>0</v>
      </c>
      <c r="F20" s="14">
        <f t="shared" si="0"/>
        <v>185956</v>
      </c>
      <c r="G20" s="14">
        <v>185956</v>
      </c>
    </row>
    <row r="21" spans="1:7">
      <c r="A21" s="37"/>
      <c r="B21" s="37"/>
      <c r="C21" s="38" t="s">
        <v>11</v>
      </c>
      <c r="D21" s="38"/>
      <c r="E21" s="15">
        <v>0</v>
      </c>
      <c r="F21" s="34">
        <f t="shared" si="0"/>
        <v>185956</v>
      </c>
      <c r="G21" s="15">
        <f>G20</f>
        <v>185956</v>
      </c>
    </row>
    <row r="22" spans="1:7">
      <c r="A22" s="37"/>
      <c r="B22" s="37" t="s">
        <v>27</v>
      </c>
      <c r="C22" s="13" t="s">
        <v>28</v>
      </c>
      <c r="D22" s="13" t="s">
        <v>29</v>
      </c>
      <c r="E22" s="14">
        <v>6916559</v>
      </c>
      <c r="F22" s="14">
        <f t="shared" si="0"/>
        <v>1130266</v>
      </c>
      <c r="G22" s="14">
        <v>8046825</v>
      </c>
    </row>
    <row r="23" spans="1:7">
      <c r="A23" s="37"/>
      <c r="B23" s="37"/>
      <c r="C23" s="38" t="s">
        <v>11</v>
      </c>
      <c r="D23" s="38"/>
      <c r="E23" s="15">
        <v>6916559</v>
      </c>
      <c r="F23" s="34">
        <f t="shared" si="0"/>
        <v>1130266</v>
      </c>
      <c r="G23" s="15">
        <f>G22</f>
        <v>8046825</v>
      </c>
    </row>
    <row r="24" spans="1:7">
      <c r="A24" s="37"/>
      <c r="B24" s="37" t="s">
        <v>30</v>
      </c>
      <c r="C24" s="13" t="s">
        <v>31</v>
      </c>
      <c r="D24" s="13" t="s">
        <v>32</v>
      </c>
      <c r="E24" s="14">
        <v>270000</v>
      </c>
      <c r="F24" s="14">
        <f t="shared" si="0"/>
        <v>0</v>
      </c>
      <c r="G24" s="14">
        <v>270000</v>
      </c>
    </row>
    <row r="25" spans="1:7">
      <c r="A25" s="37"/>
      <c r="B25" s="37"/>
      <c r="C25" s="38" t="s">
        <v>11</v>
      </c>
      <c r="D25" s="38"/>
      <c r="E25" s="15">
        <v>270000</v>
      </c>
      <c r="F25" s="34">
        <f t="shared" si="0"/>
        <v>0</v>
      </c>
      <c r="G25" s="15">
        <v>270000</v>
      </c>
    </row>
    <row r="26" spans="1:7" ht="22.5">
      <c r="A26" s="37"/>
      <c r="B26" s="37" t="s">
        <v>336</v>
      </c>
      <c r="C26" s="13" t="s">
        <v>33</v>
      </c>
      <c r="D26" s="13" t="s">
        <v>34</v>
      </c>
      <c r="E26" s="14">
        <v>311297</v>
      </c>
      <c r="F26" s="14">
        <f t="shared" si="0"/>
        <v>47316</v>
      </c>
      <c r="G26" s="14">
        <v>358613</v>
      </c>
    </row>
    <row r="27" spans="1:7" ht="22.5">
      <c r="A27" s="37"/>
      <c r="B27" s="37"/>
      <c r="C27" s="13" t="s">
        <v>335</v>
      </c>
      <c r="D27" s="13" t="s">
        <v>337</v>
      </c>
      <c r="E27" s="14"/>
      <c r="F27" s="14">
        <f t="shared" si="0"/>
        <v>37000</v>
      </c>
      <c r="G27" s="14">
        <v>37000</v>
      </c>
    </row>
    <row r="28" spans="1:7">
      <c r="A28" s="37"/>
      <c r="B28" s="37"/>
      <c r="C28" s="38" t="s">
        <v>11</v>
      </c>
      <c r="D28" s="38"/>
      <c r="E28" s="15">
        <v>311297</v>
      </c>
      <c r="F28" s="34">
        <f t="shared" si="0"/>
        <v>84316</v>
      </c>
      <c r="G28" s="15">
        <f>SUM(G26:G27)</f>
        <v>395613</v>
      </c>
    </row>
    <row r="29" spans="1:7">
      <c r="A29" s="37"/>
      <c r="B29" s="37" t="s">
        <v>35</v>
      </c>
      <c r="C29" s="13" t="s">
        <v>36</v>
      </c>
      <c r="D29" s="13" t="s">
        <v>37</v>
      </c>
      <c r="E29" s="14">
        <v>1280000</v>
      </c>
      <c r="F29" s="14">
        <f t="shared" si="0"/>
        <v>70000</v>
      </c>
      <c r="G29" s="14">
        <v>1350000</v>
      </c>
    </row>
    <row r="30" spans="1:7">
      <c r="A30" s="37"/>
      <c r="B30" s="37"/>
      <c r="C30" s="38" t="s">
        <v>11</v>
      </c>
      <c r="D30" s="38"/>
      <c r="E30" s="15">
        <f>E29</f>
        <v>1280000</v>
      </c>
      <c r="F30" s="15">
        <f t="shared" ref="F30:G30" si="2">F29</f>
        <v>70000</v>
      </c>
      <c r="G30" s="15">
        <f t="shared" si="2"/>
        <v>1350000</v>
      </c>
    </row>
    <row r="31" spans="1:7" ht="22.5">
      <c r="A31" s="37"/>
      <c r="B31" s="37" t="s">
        <v>38</v>
      </c>
      <c r="C31" s="13" t="s">
        <v>39</v>
      </c>
      <c r="D31" s="13" t="s">
        <v>40</v>
      </c>
      <c r="E31" s="14">
        <v>160000</v>
      </c>
      <c r="F31" s="14">
        <f t="shared" si="0"/>
        <v>0</v>
      </c>
      <c r="G31" s="14">
        <v>160000</v>
      </c>
    </row>
    <row r="32" spans="1:7">
      <c r="A32" s="37"/>
      <c r="B32" s="37"/>
      <c r="C32" s="38" t="s">
        <v>11</v>
      </c>
      <c r="D32" s="38"/>
      <c r="E32" s="15">
        <v>160000</v>
      </c>
      <c r="F32" s="34">
        <f t="shared" si="0"/>
        <v>0</v>
      </c>
      <c r="G32" s="15">
        <v>160000</v>
      </c>
    </row>
    <row r="33" spans="1:12" ht="22.5">
      <c r="A33" s="37"/>
      <c r="B33" s="37" t="s">
        <v>41</v>
      </c>
      <c r="C33" s="13" t="s">
        <v>42</v>
      </c>
      <c r="D33" s="13" t="s">
        <v>43</v>
      </c>
      <c r="E33" s="14">
        <v>9000</v>
      </c>
      <c r="F33" s="14">
        <f t="shared" si="0"/>
        <v>0</v>
      </c>
      <c r="G33" s="14">
        <v>9000</v>
      </c>
    </row>
    <row r="34" spans="1:12">
      <c r="A34" s="37"/>
      <c r="B34" s="37"/>
      <c r="C34" s="38" t="s">
        <v>11</v>
      </c>
      <c r="D34" s="38"/>
      <c r="E34" s="15">
        <v>9000</v>
      </c>
      <c r="F34" s="34">
        <f t="shared" si="0"/>
        <v>0</v>
      </c>
      <c r="G34" s="15">
        <v>9000</v>
      </c>
    </row>
    <row r="35" spans="1:12">
      <c r="A35" s="37"/>
      <c r="B35" s="37" t="s">
        <v>44</v>
      </c>
      <c r="C35" s="13" t="s">
        <v>45</v>
      </c>
      <c r="D35" s="13" t="s">
        <v>46</v>
      </c>
      <c r="E35" s="14">
        <v>4650</v>
      </c>
      <c r="F35" s="14">
        <f t="shared" si="0"/>
        <v>0</v>
      </c>
      <c r="G35" s="14">
        <v>4650</v>
      </c>
    </row>
    <row r="36" spans="1:12">
      <c r="A36" s="37"/>
      <c r="B36" s="37"/>
      <c r="C36" s="13" t="s">
        <v>47</v>
      </c>
      <c r="D36" s="13" t="s">
        <v>48</v>
      </c>
      <c r="E36" s="14">
        <v>20650</v>
      </c>
      <c r="F36" s="14">
        <f t="shared" si="0"/>
        <v>0</v>
      </c>
      <c r="G36" s="14">
        <v>20650</v>
      </c>
    </row>
    <row r="37" spans="1:12">
      <c r="A37" s="37"/>
      <c r="B37" s="37"/>
      <c r="C37" s="38" t="s">
        <v>11</v>
      </c>
      <c r="D37" s="38"/>
      <c r="E37" s="15">
        <v>25300</v>
      </c>
      <c r="F37" s="34">
        <f t="shared" si="0"/>
        <v>0</v>
      </c>
      <c r="G37" s="15">
        <v>25300</v>
      </c>
    </row>
    <row r="38" spans="1:12">
      <c r="A38" s="37"/>
      <c r="B38" s="17" t="s">
        <v>49</v>
      </c>
      <c r="C38" s="41" t="s">
        <v>50</v>
      </c>
      <c r="D38" s="41"/>
      <c r="E38" s="18">
        <f>E37+E34+E32+E30+E28+E25+E23+E21+E19+E15+E12+E10</f>
        <v>17152340</v>
      </c>
      <c r="F38" s="18">
        <f t="shared" ref="F38:G38" si="3">F37+F34+F32+F30+F28+F25+F23+F21+F19+F15+F12+F10</f>
        <v>1554626</v>
      </c>
      <c r="G38" s="18">
        <f t="shared" si="3"/>
        <v>18706966</v>
      </c>
      <c r="H38" s="24"/>
    </row>
    <row r="39" spans="1:12">
      <c r="A39" s="19"/>
      <c r="B39" s="20"/>
      <c r="C39" s="20"/>
      <c r="D39" s="20"/>
      <c r="E39" s="21"/>
      <c r="F39" s="21"/>
      <c r="G39" s="21"/>
    </row>
    <row r="40" spans="1:12" ht="12.75" customHeight="1">
      <c r="A40" s="49" t="s">
        <v>51</v>
      </c>
      <c r="B40" s="36" t="s">
        <v>52</v>
      </c>
      <c r="C40" s="36"/>
      <c r="D40" s="36"/>
      <c r="E40" s="36"/>
      <c r="F40" s="36"/>
      <c r="G40" s="36"/>
      <c r="L40" s="22"/>
    </row>
    <row r="41" spans="1:12">
      <c r="A41" s="49"/>
      <c r="B41" s="49" t="s">
        <v>53</v>
      </c>
      <c r="C41" s="49"/>
      <c r="D41" s="13" t="s">
        <v>54</v>
      </c>
      <c r="E41" s="14">
        <v>4263446</v>
      </c>
      <c r="F41" s="14">
        <f>G41-E41</f>
        <v>-269944</v>
      </c>
      <c r="G41" s="14">
        <f>3984536-88-190+50+12093-562-1415-1192+270</f>
        <v>3993502</v>
      </c>
    </row>
    <row r="42" spans="1:12">
      <c r="A42" s="49"/>
      <c r="B42" s="49" t="s">
        <v>55</v>
      </c>
      <c r="C42" s="49"/>
      <c r="D42" s="13" t="s">
        <v>56</v>
      </c>
      <c r="E42" s="14">
        <v>2212864</v>
      </c>
      <c r="F42" s="14">
        <f t="shared" ref="F42:F48" si="4">G42-E42</f>
        <v>6534</v>
      </c>
      <c r="G42" s="14">
        <v>2219398</v>
      </c>
    </row>
    <row r="43" spans="1:12">
      <c r="A43" s="49"/>
      <c r="B43" s="49" t="s">
        <v>57</v>
      </c>
      <c r="C43" s="49"/>
      <c r="D43" s="13" t="s">
        <v>58</v>
      </c>
      <c r="E43" s="14">
        <v>313955</v>
      </c>
      <c r="F43" s="14">
        <f t="shared" si="4"/>
        <v>0</v>
      </c>
      <c r="G43" s="14">
        <v>313955</v>
      </c>
    </row>
    <row r="44" spans="1:12">
      <c r="A44" s="49"/>
      <c r="B44" s="49" t="s">
        <v>59</v>
      </c>
      <c r="C44" s="49"/>
      <c r="D44" s="13" t="s">
        <v>60</v>
      </c>
      <c r="E44" s="14">
        <v>2489584</v>
      </c>
      <c r="F44" s="14">
        <f t="shared" si="4"/>
        <v>197980</v>
      </c>
      <c r="G44" s="14">
        <f>2686748+130-2100-495+9633-3762-2590</f>
        <v>2687564</v>
      </c>
    </row>
    <row r="45" spans="1:12">
      <c r="A45" s="49"/>
      <c r="B45" s="39" t="s">
        <v>339</v>
      </c>
      <c r="C45" s="40"/>
      <c r="D45" s="13" t="s">
        <v>340</v>
      </c>
      <c r="E45" s="14"/>
      <c r="F45" s="14">
        <f t="shared" si="4"/>
        <v>3000</v>
      </c>
      <c r="G45" s="14">
        <v>3000</v>
      </c>
    </row>
    <row r="46" spans="1:12">
      <c r="A46" s="49"/>
      <c r="B46" s="49" t="s">
        <v>61</v>
      </c>
      <c r="C46" s="49"/>
      <c r="D46" s="13" t="s">
        <v>62</v>
      </c>
      <c r="E46" s="14">
        <v>1657286</v>
      </c>
      <c r="F46" s="14">
        <f t="shared" si="4"/>
        <v>108612</v>
      </c>
      <c r="G46" s="14">
        <f>1764525-292+1415+250</f>
        <v>1765898</v>
      </c>
    </row>
    <row r="47" spans="1:12">
      <c r="A47" s="49"/>
      <c r="B47" s="49" t="s">
        <v>63</v>
      </c>
      <c r="C47" s="49"/>
      <c r="D47" s="13" t="s">
        <v>64</v>
      </c>
      <c r="E47" s="14">
        <v>8174845</v>
      </c>
      <c r="F47" s="14">
        <f t="shared" si="4"/>
        <v>1173750</v>
      </c>
      <c r="G47" s="14">
        <f>9359750+88+10-19131+292+562+3762+672+2590</f>
        <v>9348595</v>
      </c>
    </row>
    <row r="48" spans="1:12">
      <c r="A48" s="49"/>
      <c r="B48" s="49" t="s">
        <v>65</v>
      </c>
      <c r="C48" s="49"/>
      <c r="D48" s="13" t="s">
        <v>66</v>
      </c>
      <c r="E48" s="14">
        <v>2142624</v>
      </c>
      <c r="F48" s="14">
        <f t="shared" si="4"/>
        <v>198251</v>
      </c>
      <c r="G48" s="14">
        <v>2340875</v>
      </c>
    </row>
    <row r="49" spans="1:12">
      <c r="A49" s="49"/>
      <c r="B49" s="17" t="s">
        <v>49</v>
      </c>
      <c r="C49" s="41" t="s">
        <v>67</v>
      </c>
      <c r="D49" s="41"/>
      <c r="E49" s="18">
        <f>SUM(E41:E48)</f>
        <v>21254604</v>
      </c>
      <c r="F49" s="18">
        <f t="shared" ref="F49:G49" si="5">SUM(F41:F48)</f>
        <v>1418183</v>
      </c>
      <c r="G49" s="18">
        <f t="shared" si="5"/>
        <v>22672787</v>
      </c>
      <c r="H49" s="24"/>
    </row>
    <row r="50" spans="1:12">
      <c r="A50" s="19"/>
      <c r="B50" s="20"/>
      <c r="C50" s="20"/>
      <c r="D50" s="20"/>
      <c r="E50" s="21"/>
      <c r="F50" s="21"/>
      <c r="G50" s="21"/>
    </row>
    <row r="51" spans="1:12" ht="12.75" customHeight="1">
      <c r="A51" s="49" t="s">
        <v>51</v>
      </c>
      <c r="B51" s="36" t="s">
        <v>68</v>
      </c>
      <c r="C51" s="36"/>
      <c r="D51" s="36"/>
      <c r="E51" s="36"/>
      <c r="F51" s="36"/>
      <c r="G51" s="36"/>
      <c r="L51" s="22"/>
    </row>
    <row r="52" spans="1:12">
      <c r="A52" s="49"/>
      <c r="B52" s="37" t="s">
        <v>69</v>
      </c>
      <c r="C52" s="13" t="s">
        <v>70</v>
      </c>
      <c r="D52" s="13" t="s">
        <v>71</v>
      </c>
      <c r="E52" s="14">
        <v>7559403</v>
      </c>
      <c r="F52" s="14">
        <f>G52-E52</f>
        <v>967949</v>
      </c>
      <c r="G52" s="14">
        <f>8521874+1653+4046+71-292</f>
        <v>8527352</v>
      </c>
    </row>
    <row r="53" spans="1:12" ht="22.5">
      <c r="A53" s="49"/>
      <c r="B53" s="37"/>
      <c r="C53" s="13" t="s">
        <v>72</v>
      </c>
      <c r="D53" s="13" t="s">
        <v>73</v>
      </c>
      <c r="E53" s="14">
        <v>1854020</v>
      </c>
      <c r="F53" s="14">
        <f t="shared" ref="F53:F75" si="6">G53-E53</f>
        <v>244427</v>
      </c>
      <c r="G53" s="14">
        <f>2097129+347+954+17</f>
        <v>2098447</v>
      </c>
    </row>
    <row r="54" spans="1:12">
      <c r="A54" s="49"/>
      <c r="B54" s="37"/>
      <c r="C54" s="38" t="s">
        <v>11</v>
      </c>
      <c r="D54" s="38"/>
      <c r="E54" s="15">
        <v>9413423</v>
      </c>
      <c r="F54" s="34">
        <f t="shared" si="6"/>
        <v>1212376</v>
      </c>
      <c r="G54" s="15">
        <f>SUM(G52:G53)</f>
        <v>10625799</v>
      </c>
    </row>
    <row r="55" spans="1:12">
      <c r="A55" s="49"/>
      <c r="B55" s="37" t="s">
        <v>74</v>
      </c>
      <c r="C55" s="13" t="s">
        <v>75</v>
      </c>
      <c r="D55" s="13" t="s">
        <v>76</v>
      </c>
      <c r="E55" s="14">
        <v>30707</v>
      </c>
      <c r="F55" s="14">
        <f t="shared" si="6"/>
        <v>40957</v>
      </c>
      <c r="G55" s="14">
        <v>71664</v>
      </c>
    </row>
    <row r="56" spans="1:12">
      <c r="A56" s="49"/>
      <c r="B56" s="37"/>
      <c r="C56" s="13" t="s">
        <v>77</v>
      </c>
      <c r="D56" s="13" t="s">
        <v>78</v>
      </c>
      <c r="E56" s="14">
        <v>3720527</v>
      </c>
      <c r="F56" s="14">
        <f t="shared" si="6"/>
        <v>275638</v>
      </c>
      <c r="G56" s="14">
        <f>4000474-88+292-562-1344-1415-1192</f>
        <v>3996165</v>
      </c>
    </row>
    <row r="57" spans="1:12" ht="22.5">
      <c r="A57" s="49"/>
      <c r="B57" s="37"/>
      <c r="C57" s="13" t="s">
        <v>79</v>
      </c>
      <c r="D57" s="13" t="s">
        <v>80</v>
      </c>
      <c r="E57" s="14">
        <v>1538346</v>
      </c>
      <c r="F57" s="14">
        <f t="shared" si="6"/>
        <v>308880</v>
      </c>
      <c r="G57" s="14">
        <f>1843220+1200+199+1415+1192</f>
        <v>1847226</v>
      </c>
    </row>
    <row r="58" spans="1:12">
      <c r="A58" s="49"/>
      <c r="B58" s="37"/>
      <c r="C58" s="13" t="s">
        <v>81</v>
      </c>
      <c r="D58" s="13" t="s">
        <v>82</v>
      </c>
      <c r="E58" s="14">
        <v>12039</v>
      </c>
      <c r="F58" s="14">
        <f t="shared" si="6"/>
        <v>-247</v>
      </c>
      <c r="G58" s="14">
        <v>11792</v>
      </c>
    </row>
    <row r="59" spans="1:12">
      <c r="A59" s="49"/>
      <c r="B59" s="37"/>
      <c r="C59" s="13" t="s">
        <v>83</v>
      </c>
      <c r="D59" s="13" t="s">
        <v>84</v>
      </c>
      <c r="E59" s="14">
        <v>37415</v>
      </c>
      <c r="F59" s="14">
        <f t="shared" si="6"/>
        <v>58676</v>
      </c>
      <c r="G59" s="14">
        <v>96091</v>
      </c>
    </row>
    <row r="60" spans="1:12">
      <c r="A60" s="49"/>
      <c r="B60" s="37"/>
      <c r="C60" s="38" t="s">
        <v>11</v>
      </c>
      <c r="D60" s="38"/>
      <c r="E60" s="15">
        <v>5339034</v>
      </c>
      <c r="F60" s="34">
        <f t="shared" si="6"/>
        <v>683904</v>
      </c>
      <c r="G60" s="15">
        <f>SUM(G55:G59)</f>
        <v>6022938</v>
      </c>
    </row>
    <row r="61" spans="1:12" ht="22.5">
      <c r="A61" s="49"/>
      <c r="B61" s="37" t="s">
        <v>85</v>
      </c>
      <c r="C61" s="13" t="s">
        <v>86</v>
      </c>
      <c r="D61" s="13" t="s">
        <v>87</v>
      </c>
      <c r="E61" s="14">
        <v>435262</v>
      </c>
      <c r="F61" s="14">
        <f t="shared" si="6"/>
        <v>8645</v>
      </c>
      <c r="G61" s="14">
        <v>443907</v>
      </c>
    </row>
    <row r="62" spans="1:12">
      <c r="A62" s="49"/>
      <c r="B62" s="37"/>
      <c r="C62" s="38" t="s">
        <v>11</v>
      </c>
      <c r="D62" s="38"/>
      <c r="E62" s="15">
        <v>435262</v>
      </c>
      <c r="F62" s="34">
        <f t="shared" si="6"/>
        <v>8645</v>
      </c>
      <c r="G62" s="15">
        <f>G61</f>
        <v>443907</v>
      </c>
    </row>
    <row r="63" spans="1:12">
      <c r="A63" s="49"/>
      <c r="B63" s="37" t="s">
        <v>88</v>
      </c>
      <c r="C63" s="13" t="s">
        <v>89</v>
      </c>
      <c r="D63" s="13" t="s">
        <v>90</v>
      </c>
      <c r="E63" s="14">
        <v>350000</v>
      </c>
      <c r="F63" s="14">
        <f t="shared" si="6"/>
        <v>0</v>
      </c>
      <c r="G63" s="14">
        <v>350000</v>
      </c>
    </row>
    <row r="64" spans="1:12">
      <c r="A64" s="49"/>
      <c r="B64" s="37"/>
      <c r="C64" s="38" t="s">
        <v>11</v>
      </c>
      <c r="D64" s="38"/>
      <c r="E64" s="15">
        <v>350000</v>
      </c>
      <c r="F64" s="34">
        <f t="shared" si="6"/>
        <v>0</v>
      </c>
      <c r="G64" s="15">
        <v>350000</v>
      </c>
    </row>
    <row r="65" spans="1:12">
      <c r="A65" s="49"/>
      <c r="B65" s="37" t="s">
        <v>91</v>
      </c>
      <c r="C65" s="13" t="s">
        <v>92</v>
      </c>
      <c r="D65" s="13" t="s">
        <v>93</v>
      </c>
      <c r="E65" s="14">
        <v>375788</v>
      </c>
      <c r="F65" s="14">
        <f t="shared" si="6"/>
        <v>-54514</v>
      </c>
      <c r="G65" s="14">
        <f>308974+12000+300</f>
        <v>321274</v>
      </c>
    </row>
    <row r="66" spans="1:12">
      <c r="A66" s="49"/>
      <c r="B66" s="37"/>
      <c r="C66" s="13" t="s">
        <v>94</v>
      </c>
      <c r="D66" s="13" t="s">
        <v>95</v>
      </c>
      <c r="E66" s="14">
        <v>3135079</v>
      </c>
      <c r="F66" s="14">
        <f t="shared" si="6"/>
        <v>-337760</v>
      </c>
      <c r="G66" s="14">
        <f>2806954+958-12000+363+1344-300</f>
        <v>2797319</v>
      </c>
    </row>
    <row r="67" spans="1:12">
      <c r="A67" s="49"/>
      <c r="B67" s="37"/>
      <c r="C67" s="38" t="s">
        <v>11</v>
      </c>
      <c r="D67" s="38"/>
      <c r="E67" s="15">
        <v>3510867</v>
      </c>
      <c r="F67" s="34">
        <f t="shared" si="6"/>
        <v>-392274</v>
      </c>
      <c r="G67" s="15">
        <f>SUM(G65:G66)</f>
        <v>3118593</v>
      </c>
    </row>
    <row r="68" spans="1:12">
      <c r="A68" s="49"/>
      <c r="B68" s="37" t="s">
        <v>96</v>
      </c>
      <c r="C68" s="13" t="s">
        <v>97</v>
      </c>
      <c r="D68" s="13" t="s">
        <v>98</v>
      </c>
      <c r="E68" s="14">
        <v>487996</v>
      </c>
      <c r="F68" s="14">
        <f t="shared" si="6"/>
        <v>1121</v>
      </c>
      <c r="G68" s="14">
        <v>489117</v>
      </c>
    </row>
    <row r="69" spans="1:12">
      <c r="A69" s="49"/>
      <c r="B69" s="37"/>
      <c r="C69" s="13" t="s">
        <v>99</v>
      </c>
      <c r="D69" s="13" t="s">
        <v>100</v>
      </c>
      <c r="E69" s="14">
        <v>357403</v>
      </c>
      <c r="F69" s="14">
        <f t="shared" si="6"/>
        <v>-157103</v>
      </c>
      <c r="G69" s="14">
        <v>200300</v>
      </c>
    </row>
    <row r="70" spans="1:12" ht="22.5">
      <c r="A70" s="49"/>
      <c r="B70" s="37"/>
      <c r="C70" s="13" t="s">
        <v>101</v>
      </c>
      <c r="D70" s="13" t="s">
        <v>102</v>
      </c>
      <c r="E70" s="14">
        <v>774317</v>
      </c>
      <c r="F70" s="14">
        <f t="shared" si="6"/>
        <v>-10914</v>
      </c>
      <c r="G70" s="14">
        <v>763403</v>
      </c>
    </row>
    <row r="71" spans="1:12">
      <c r="A71" s="49"/>
      <c r="B71" s="37"/>
      <c r="C71" s="38" t="s">
        <v>11</v>
      </c>
      <c r="D71" s="38"/>
      <c r="E71" s="15">
        <v>1619716</v>
      </c>
      <c r="F71" s="34">
        <f t="shared" si="6"/>
        <v>-166896</v>
      </c>
      <c r="G71" s="15">
        <f>SUM(G68:G70)</f>
        <v>1452820</v>
      </c>
    </row>
    <row r="72" spans="1:12">
      <c r="A72" s="49"/>
      <c r="B72" s="37" t="s">
        <v>103</v>
      </c>
      <c r="C72" s="13" t="s">
        <v>104</v>
      </c>
      <c r="D72" s="13" t="s">
        <v>105</v>
      </c>
      <c r="E72" s="14">
        <v>586302</v>
      </c>
      <c r="F72" s="14">
        <f t="shared" si="6"/>
        <v>63221</v>
      </c>
      <c r="G72" s="14">
        <v>649523</v>
      </c>
    </row>
    <row r="73" spans="1:12">
      <c r="A73" s="49"/>
      <c r="B73" s="37"/>
      <c r="C73" s="13">
        <v>7400</v>
      </c>
      <c r="D73" s="13" t="s">
        <v>338</v>
      </c>
      <c r="E73" s="14"/>
      <c r="F73" s="14"/>
      <c r="G73" s="14">
        <v>9207</v>
      </c>
    </row>
    <row r="74" spans="1:12">
      <c r="A74" s="49"/>
      <c r="B74" s="37"/>
      <c r="C74" s="38" t="s">
        <v>11</v>
      </c>
      <c r="D74" s="38"/>
      <c r="E74" s="15">
        <v>586302</v>
      </c>
      <c r="F74" s="34">
        <f t="shared" si="6"/>
        <v>72428</v>
      </c>
      <c r="G74" s="15">
        <f>SUM(G72:G73)</f>
        <v>658730</v>
      </c>
    </row>
    <row r="75" spans="1:12">
      <c r="A75" s="49"/>
      <c r="B75" s="17" t="s">
        <v>49</v>
      </c>
      <c r="C75" s="41" t="s">
        <v>106</v>
      </c>
      <c r="D75" s="41"/>
      <c r="E75" s="18">
        <v>21254604</v>
      </c>
      <c r="F75" s="18">
        <f t="shared" si="6"/>
        <v>1418183</v>
      </c>
      <c r="G75" s="18">
        <f>G74+G71+G67+G64+G62+G60+G54</f>
        <v>22672787</v>
      </c>
      <c r="H75" s="24"/>
    </row>
    <row r="76" spans="1:12">
      <c r="A76" s="23"/>
      <c r="B76" s="20"/>
      <c r="C76" s="20"/>
      <c r="D76" s="20"/>
      <c r="E76" s="21"/>
      <c r="F76" s="21"/>
      <c r="G76" s="21"/>
    </row>
    <row r="77" spans="1:12" ht="12.75" customHeight="1">
      <c r="A77" s="49" t="s">
        <v>107</v>
      </c>
      <c r="B77" s="36" t="s">
        <v>108</v>
      </c>
      <c r="C77" s="36"/>
      <c r="D77" s="36"/>
      <c r="E77" s="36"/>
      <c r="F77" s="36"/>
      <c r="G77" s="36"/>
      <c r="L77" s="22"/>
    </row>
    <row r="78" spans="1:12">
      <c r="A78" s="49"/>
      <c r="B78" s="37" t="s">
        <v>109</v>
      </c>
      <c r="C78" s="13" t="s">
        <v>110</v>
      </c>
      <c r="D78" s="13" t="s">
        <v>111</v>
      </c>
      <c r="E78" s="14">
        <v>4353240</v>
      </c>
      <c r="F78" s="14">
        <f>G78-E78</f>
        <v>81</v>
      </c>
      <c r="G78" s="14">
        <v>4353321</v>
      </c>
    </row>
    <row r="79" spans="1:12">
      <c r="A79" s="49"/>
      <c r="B79" s="37"/>
      <c r="C79" s="38" t="s">
        <v>11</v>
      </c>
      <c r="D79" s="38"/>
      <c r="E79" s="15">
        <v>4353240</v>
      </c>
      <c r="F79" s="34">
        <f t="shared" ref="F79:F85" si="7">G79-E79</f>
        <v>81</v>
      </c>
      <c r="G79" s="15">
        <f>G78</f>
        <v>4353321</v>
      </c>
    </row>
    <row r="80" spans="1:12">
      <c r="A80" s="49"/>
      <c r="B80" s="37" t="s">
        <v>112</v>
      </c>
      <c r="C80" s="13" t="s">
        <v>113</v>
      </c>
      <c r="D80" s="13" t="s">
        <v>114</v>
      </c>
      <c r="E80" s="14">
        <v>1488386</v>
      </c>
      <c r="F80" s="14">
        <f t="shared" si="7"/>
        <v>-136524</v>
      </c>
      <c r="G80" s="14">
        <v>1351862</v>
      </c>
    </row>
    <row r="81" spans="1:7">
      <c r="A81" s="49"/>
      <c r="B81" s="37"/>
      <c r="C81" s="13" t="s">
        <v>115</v>
      </c>
      <c r="D81" s="13" t="s">
        <v>116</v>
      </c>
      <c r="E81" s="14">
        <v>-1704362</v>
      </c>
      <c r="F81" s="14">
        <f t="shared" si="7"/>
        <v>0</v>
      </c>
      <c r="G81" s="14">
        <v>-1704362</v>
      </c>
    </row>
    <row r="82" spans="1:7">
      <c r="A82" s="49"/>
      <c r="B82" s="37"/>
      <c r="C82" s="38" t="s">
        <v>11</v>
      </c>
      <c r="D82" s="38"/>
      <c r="E82" s="15">
        <v>-215976</v>
      </c>
      <c r="F82" s="34">
        <f t="shared" si="7"/>
        <v>-136524</v>
      </c>
      <c r="G82" s="15">
        <f>SUM(G80:G81)</f>
        <v>-352500</v>
      </c>
    </row>
    <row r="83" spans="1:7">
      <c r="A83" s="49"/>
      <c r="B83" s="37" t="s">
        <v>326</v>
      </c>
      <c r="C83" s="13" t="s">
        <v>327</v>
      </c>
      <c r="D83" s="13" t="s">
        <v>328</v>
      </c>
      <c r="E83" s="14">
        <v>-35000</v>
      </c>
      <c r="F83" s="14">
        <f t="shared" si="7"/>
        <v>0</v>
      </c>
      <c r="G83" s="14">
        <v>-35000</v>
      </c>
    </row>
    <row r="84" spans="1:7">
      <c r="A84" s="49"/>
      <c r="B84" s="37"/>
      <c r="C84" s="38" t="s">
        <v>11</v>
      </c>
      <c r="D84" s="38"/>
      <c r="E84" s="15">
        <v>-35000</v>
      </c>
      <c r="F84" s="34">
        <f t="shared" si="7"/>
        <v>0</v>
      </c>
      <c r="G84" s="15">
        <v>-35000</v>
      </c>
    </row>
    <row r="85" spans="1:7">
      <c r="A85" s="49"/>
      <c r="B85" s="17" t="s">
        <v>49</v>
      </c>
      <c r="C85" s="41" t="s">
        <v>117</v>
      </c>
      <c r="D85" s="41"/>
      <c r="E85" s="18">
        <v>4102264</v>
      </c>
      <c r="F85" s="18">
        <f t="shared" si="7"/>
        <v>-136443</v>
      </c>
      <c r="G85" s="18">
        <f>G84+G82+G79</f>
        <v>3965821</v>
      </c>
    </row>
    <row r="87" spans="1:7">
      <c r="E87" s="24"/>
      <c r="F87" s="24"/>
      <c r="G87" s="24"/>
    </row>
    <row r="88" spans="1:7">
      <c r="E88" s="24"/>
      <c r="F88" s="24"/>
      <c r="G88" s="24"/>
    </row>
  </sheetData>
  <mergeCells count="69">
    <mergeCell ref="A77:A85"/>
    <mergeCell ref="B78:B79"/>
    <mergeCell ref="C79:D79"/>
    <mergeCell ref="B80:B82"/>
    <mergeCell ref="C82:D82"/>
    <mergeCell ref="C85:D85"/>
    <mergeCell ref="B83:B84"/>
    <mergeCell ref="C84:D84"/>
    <mergeCell ref="A51:A75"/>
    <mergeCell ref="B52:B54"/>
    <mergeCell ref="C54:D54"/>
    <mergeCell ref="B55:B60"/>
    <mergeCell ref="C60:D60"/>
    <mergeCell ref="B61:B62"/>
    <mergeCell ref="C62:D62"/>
    <mergeCell ref="B63:B64"/>
    <mergeCell ref="C64:D64"/>
    <mergeCell ref="B65:B67"/>
    <mergeCell ref="C67:D67"/>
    <mergeCell ref="B68:B71"/>
    <mergeCell ref="C71:D71"/>
    <mergeCell ref="C75:D75"/>
    <mergeCell ref="B72:B74"/>
    <mergeCell ref="C74:D74"/>
    <mergeCell ref="A9:A38"/>
    <mergeCell ref="B9:B10"/>
    <mergeCell ref="C10:D10"/>
    <mergeCell ref="B11:B12"/>
    <mergeCell ref="C49:D49"/>
    <mergeCell ref="A40:A49"/>
    <mergeCell ref="B41:C41"/>
    <mergeCell ref="B42:C42"/>
    <mergeCell ref="B43:C43"/>
    <mergeCell ref="B44:C44"/>
    <mergeCell ref="B46:C46"/>
    <mergeCell ref="B47:C47"/>
    <mergeCell ref="B48:C48"/>
    <mergeCell ref="B16:B19"/>
    <mergeCell ref="C19:D19"/>
    <mergeCell ref="B31:B32"/>
    <mergeCell ref="E1:G1"/>
    <mergeCell ref="E2:G2"/>
    <mergeCell ref="E3:G3"/>
    <mergeCell ref="A5:G5"/>
    <mergeCell ref="B40:G40"/>
    <mergeCell ref="C8:D8"/>
    <mergeCell ref="A6:G6"/>
    <mergeCell ref="B22:B23"/>
    <mergeCell ref="C23:D23"/>
    <mergeCell ref="B24:B25"/>
    <mergeCell ref="C25:D25"/>
    <mergeCell ref="B26:B28"/>
    <mergeCell ref="C28:D28"/>
    <mergeCell ref="C12:D12"/>
    <mergeCell ref="B13:B15"/>
    <mergeCell ref="C15:D15"/>
    <mergeCell ref="B51:G51"/>
    <mergeCell ref="B77:G77"/>
    <mergeCell ref="B20:B21"/>
    <mergeCell ref="C21:D21"/>
    <mergeCell ref="B45:C45"/>
    <mergeCell ref="B35:B37"/>
    <mergeCell ref="C37:D37"/>
    <mergeCell ref="C38:D38"/>
    <mergeCell ref="C32:D32"/>
    <mergeCell ref="B33:B34"/>
    <mergeCell ref="C34:D34"/>
    <mergeCell ref="B29:B30"/>
    <mergeCell ref="C30:D30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N220"/>
  <sheetViews>
    <sheetView showGridLines="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K4" sqref="K4"/>
    </sheetView>
  </sheetViews>
  <sheetFormatPr defaultColWidth="8.85546875" defaultRowHeight="12.75"/>
  <cols>
    <col min="1" max="1" width="5.28515625" style="2" customWidth="1"/>
    <col min="2" max="2" width="5.140625" style="2" bestFit="1" customWidth="1"/>
    <col min="3" max="3" width="6.7109375" style="2" bestFit="1" customWidth="1"/>
    <col min="4" max="4" width="16" style="2" customWidth="1"/>
    <col min="5" max="5" width="9.7109375" style="2" customWidth="1"/>
    <col min="6" max="6" width="27.85546875" style="2" customWidth="1"/>
    <col min="7" max="7" width="10.85546875" style="2" customWidth="1"/>
    <col min="8" max="8" width="10.7109375" style="2" customWidth="1"/>
    <col min="9" max="9" width="10.85546875" style="2" customWidth="1"/>
    <col min="10" max="10" width="10.7109375" style="2" customWidth="1"/>
    <col min="11" max="11" width="10.85546875" style="2" customWidth="1"/>
    <col min="12" max="12" width="10.7109375" style="2" customWidth="1"/>
    <col min="13" max="13" width="10.85546875" style="2" customWidth="1"/>
    <col min="14" max="14" width="10.7109375" style="2" customWidth="1"/>
    <col min="15" max="16384" width="8.85546875" style="2"/>
  </cols>
  <sheetData>
    <row r="1" spans="1:14" ht="13.5" customHeight="1">
      <c r="A1" s="1"/>
      <c r="B1" s="1"/>
      <c r="C1" s="1"/>
      <c r="D1" s="1"/>
      <c r="E1" s="1"/>
      <c r="K1" s="42" t="s">
        <v>118</v>
      </c>
      <c r="L1" s="42"/>
      <c r="M1" s="42"/>
      <c r="N1" s="42"/>
    </row>
    <row r="2" spans="1:14" ht="13.5" customHeight="1">
      <c r="A2" s="4"/>
      <c r="B2" s="4"/>
      <c r="C2" s="4"/>
      <c r="D2" s="4"/>
      <c r="E2" s="4"/>
      <c r="K2" s="42" t="s">
        <v>1</v>
      </c>
      <c r="L2" s="42"/>
      <c r="M2" s="42"/>
      <c r="N2" s="42"/>
    </row>
    <row r="3" spans="1:14" ht="13.5" customHeight="1">
      <c r="A3" s="5"/>
      <c r="B3" s="5"/>
      <c r="C3" s="5"/>
      <c r="D3" s="5"/>
      <c r="E3" s="5"/>
      <c r="K3" s="42" t="s">
        <v>355</v>
      </c>
      <c r="L3" s="42"/>
      <c r="M3" s="42"/>
      <c r="N3" s="42"/>
    </row>
    <row r="4" spans="1:14" ht="10.5" customHeight="1">
      <c r="A4" s="6"/>
      <c r="B4" s="6"/>
      <c r="C4" s="6"/>
      <c r="D4" s="6"/>
      <c r="E4" s="6"/>
      <c r="F4" s="7"/>
      <c r="G4" s="6"/>
      <c r="H4" s="8"/>
      <c r="I4" s="8"/>
      <c r="J4" s="8"/>
      <c r="K4" s="9"/>
    </row>
    <row r="5" spans="1:14" ht="18.75" customHeight="1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30.6" customHeight="1">
      <c r="A6" s="45" t="s">
        <v>354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0.5" customHeight="1"/>
    <row r="8" spans="1:14" ht="13.15" customHeight="1">
      <c r="A8" s="36" t="s">
        <v>3</v>
      </c>
      <c r="B8" s="36" t="s">
        <v>119</v>
      </c>
      <c r="C8" s="36" t="s">
        <v>120</v>
      </c>
      <c r="D8" s="36"/>
      <c r="E8" s="57" t="s">
        <v>121</v>
      </c>
      <c r="F8" s="58"/>
      <c r="G8" s="61" t="s">
        <v>6</v>
      </c>
      <c r="H8" s="61"/>
      <c r="I8" s="61"/>
      <c r="J8" s="61"/>
      <c r="K8" s="61"/>
      <c r="L8" s="61"/>
      <c r="M8" s="61"/>
      <c r="N8" s="61"/>
    </row>
    <row r="9" spans="1:14" ht="78.75">
      <c r="A9" s="36"/>
      <c r="B9" s="36"/>
      <c r="C9" s="36"/>
      <c r="D9" s="36"/>
      <c r="E9" s="59"/>
      <c r="F9" s="60"/>
      <c r="G9" s="25" t="s">
        <v>11</v>
      </c>
      <c r="H9" s="26" t="s">
        <v>122</v>
      </c>
      <c r="I9" s="26" t="s">
        <v>123</v>
      </c>
      <c r="J9" s="26" t="s">
        <v>124</v>
      </c>
      <c r="K9" s="26" t="s">
        <v>125</v>
      </c>
      <c r="L9" s="26" t="s">
        <v>126</v>
      </c>
      <c r="M9" s="26" t="s">
        <v>127</v>
      </c>
      <c r="N9" s="26" t="s">
        <v>128</v>
      </c>
    </row>
    <row r="10" spans="1:14" ht="13.15" customHeight="1">
      <c r="A10" s="37" t="s">
        <v>51</v>
      </c>
      <c r="B10" s="46" t="s">
        <v>53</v>
      </c>
      <c r="C10" s="37" t="s">
        <v>129</v>
      </c>
      <c r="D10" s="37" t="s">
        <v>130</v>
      </c>
      <c r="E10" s="13" t="s">
        <v>131</v>
      </c>
      <c r="F10" s="13" t="s">
        <v>2</v>
      </c>
      <c r="G10" s="15">
        <f>SUM(H10:N10)</f>
        <v>2460670</v>
      </c>
      <c r="H10" s="14">
        <f>1979142+16087</f>
        <v>1995229</v>
      </c>
      <c r="I10" s="14">
        <f>408999+27317</f>
        <v>436316</v>
      </c>
      <c r="J10" s="27"/>
      <c r="K10" s="27"/>
      <c r="L10" s="14">
        <f>28425+700</f>
        <v>29125</v>
      </c>
      <c r="M10" s="27"/>
      <c r="N10" s="27"/>
    </row>
    <row r="11" spans="1:14">
      <c r="A11" s="37"/>
      <c r="B11" s="47"/>
      <c r="C11" s="37"/>
      <c r="D11" s="37"/>
      <c r="E11" s="13" t="s">
        <v>132</v>
      </c>
      <c r="F11" s="13" t="s">
        <v>133</v>
      </c>
      <c r="G11" s="15">
        <f t="shared" ref="G11:G75" si="0">SUM(H11:N11)</f>
        <v>75359</v>
      </c>
      <c r="H11" s="14">
        <f>50279+12093</f>
        <v>62372</v>
      </c>
      <c r="I11" s="14">
        <v>12987</v>
      </c>
      <c r="J11" s="27"/>
      <c r="K11" s="27"/>
      <c r="L11" s="27"/>
      <c r="M11" s="27"/>
      <c r="N11" s="27"/>
    </row>
    <row r="12" spans="1:14">
      <c r="A12" s="37"/>
      <c r="B12" s="47"/>
      <c r="C12" s="37"/>
      <c r="D12" s="37"/>
      <c r="E12" s="13" t="s">
        <v>134</v>
      </c>
      <c r="F12" s="13" t="s">
        <v>135</v>
      </c>
      <c r="G12" s="15">
        <f t="shared" si="0"/>
        <v>84989</v>
      </c>
      <c r="H12" s="14">
        <v>61780</v>
      </c>
      <c r="I12" s="14">
        <v>22666</v>
      </c>
      <c r="J12" s="27"/>
      <c r="K12" s="27"/>
      <c r="L12" s="27">
        <v>543</v>
      </c>
      <c r="M12" s="27"/>
      <c r="N12" s="27"/>
    </row>
    <row r="13" spans="1:14">
      <c r="A13" s="37"/>
      <c r="B13" s="47"/>
      <c r="C13" s="37"/>
      <c r="D13" s="37"/>
      <c r="E13" s="13" t="s">
        <v>136</v>
      </c>
      <c r="F13" s="13" t="s">
        <v>137</v>
      </c>
      <c r="G13" s="15">
        <f t="shared" si="0"/>
        <v>57043</v>
      </c>
      <c r="H13" s="14">
        <v>45254</v>
      </c>
      <c r="I13" s="14">
        <v>11789</v>
      </c>
      <c r="J13" s="27"/>
      <c r="K13" s="27"/>
      <c r="L13" s="27"/>
      <c r="M13" s="27"/>
      <c r="N13" s="27"/>
    </row>
    <row r="14" spans="1:14">
      <c r="A14" s="37"/>
      <c r="B14" s="47"/>
      <c r="C14" s="37"/>
      <c r="D14" s="37"/>
      <c r="E14" s="13" t="s">
        <v>138</v>
      </c>
      <c r="F14" s="13" t="s">
        <v>139</v>
      </c>
      <c r="G14" s="15">
        <f t="shared" si="0"/>
        <v>82978</v>
      </c>
      <c r="H14" s="14">
        <v>45314</v>
      </c>
      <c r="I14" s="14">
        <v>28805</v>
      </c>
      <c r="J14" s="27"/>
      <c r="K14" s="27"/>
      <c r="L14" s="14">
        <v>8859</v>
      </c>
      <c r="M14" s="27"/>
      <c r="N14" s="27"/>
    </row>
    <row r="15" spans="1:14">
      <c r="A15" s="37"/>
      <c r="B15" s="47"/>
      <c r="C15" s="37"/>
      <c r="D15" s="37"/>
      <c r="E15" s="13" t="s">
        <v>140</v>
      </c>
      <c r="F15" s="13" t="s">
        <v>141</v>
      </c>
      <c r="G15" s="15">
        <f t="shared" si="0"/>
        <v>199518</v>
      </c>
      <c r="H15" s="14">
        <v>39324</v>
      </c>
      <c r="I15" s="14">
        <f>12980-958</f>
        <v>12022</v>
      </c>
      <c r="J15" s="27"/>
      <c r="K15" s="27"/>
      <c r="L15" s="14">
        <f>147214+958</f>
        <v>148172</v>
      </c>
      <c r="M15" s="27"/>
      <c r="N15" s="27"/>
    </row>
    <row r="16" spans="1:14">
      <c r="A16" s="37"/>
      <c r="B16" s="47"/>
      <c r="C16" s="37"/>
      <c r="D16" s="37"/>
      <c r="E16" s="13" t="s">
        <v>142</v>
      </c>
      <c r="F16" s="13" t="s">
        <v>143</v>
      </c>
      <c r="G16" s="15">
        <f t="shared" si="0"/>
        <v>63201</v>
      </c>
      <c r="H16" s="14">
        <v>41969</v>
      </c>
      <c r="I16" s="14">
        <v>19539</v>
      </c>
      <c r="J16" s="27"/>
      <c r="K16" s="27"/>
      <c r="L16" s="14">
        <v>1693</v>
      </c>
      <c r="M16" s="27"/>
      <c r="N16" s="27"/>
    </row>
    <row r="17" spans="1:14">
      <c r="A17" s="37"/>
      <c r="B17" s="47"/>
      <c r="C17" s="37"/>
      <c r="D17" s="37"/>
      <c r="E17" s="13" t="s">
        <v>144</v>
      </c>
      <c r="F17" s="13" t="s">
        <v>145</v>
      </c>
      <c r="G17" s="15">
        <f t="shared" si="0"/>
        <v>76340</v>
      </c>
      <c r="H17" s="14">
        <v>55680</v>
      </c>
      <c r="I17" s="14">
        <f>19451+270</f>
        <v>19721</v>
      </c>
      <c r="J17" s="27"/>
      <c r="K17" s="27"/>
      <c r="L17" s="27">
        <v>939</v>
      </c>
      <c r="M17" s="27"/>
      <c r="N17" s="27"/>
    </row>
    <row r="18" spans="1:14">
      <c r="A18" s="37"/>
      <c r="B18" s="47"/>
      <c r="C18" s="37"/>
      <c r="D18" s="37"/>
      <c r="E18" s="13" t="s">
        <v>146</v>
      </c>
      <c r="F18" s="13" t="s">
        <v>147</v>
      </c>
      <c r="G18" s="15">
        <f t="shared" si="0"/>
        <v>59616</v>
      </c>
      <c r="H18" s="14">
        <v>43687</v>
      </c>
      <c r="I18" s="14">
        <f>15125+50</f>
        <v>15175</v>
      </c>
      <c r="J18" s="27"/>
      <c r="K18" s="27"/>
      <c r="L18" s="27">
        <v>754</v>
      </c>
      <c r="M18" s="27"/>
      <c r="N18" s="27"/>
    </row>
    <row r="19" spans="1:14">
      <c r="A19" s="37"/>
      <c r="B19" s="47"/>
      <c r="C19" s="37"/>
      <c r="D19" s="37"/>
      <c r="E19" s="13" t="s">
        <v>148</v>
      </c>
      <c r="F19" s="13" t="s">
        <v>149</v>
      </c>
      <c r="G19" s="15">
        <f t="shared" si="0"/>
        <v>65919</v>
      </c>
      <c r="H19" s="14">
        <v>40886</v>
      </c>
      <c r="I19" s="14">
        <v>25033</v>
      </c>
      <c r="J19" s="27"/>
      <c r="K19" s="27"/>
      <c r="L19" s="27"/>
      <c r="M19" s="27"/>
      <c r="N19" s="27"/>
    </row>
    <row r="20" spans="1:14">
      <c r="A20" s="37"/>
      <c r="B20" s="47"/>
      <c r="C20" s="37"/>
      <c r="D20" s="37"/>
      <c r="E20" s="13" t="s">
        <v>150</v>
      </c>
      <c r="F20" s="13" t="s">
        <v>151</v>
      </c>
      <c r="G20" s="15">
        <f t="shared" si="0"/>
        <v>76823</v>
      </c>
      <c r="H20" s="14">
        <v>46950</v>
      </c>
      <c r="I20" s="14">
        <v>28934</v>
      </c>
      <c r="J20" s="27"/>
      <c r="K20" s="27"/>
      <c r="L20" s="27">
        <v>939</v>
      </c>
      <c r="M20" s="27"/>
      <c r="N20" s="27"/>
    </row>
    <row r="21" spans="1:14">
      <c r="A21" s="37"/>
      <c r="B21" s="47"/>
      <c r="C21" s="37"/>
      <c r="D21" s="37"/>
      <c r="E21" s="13" t="s">
        <v>152</v>
      </c>
      <c r="F21" s="13" t="s">
        <v>153</v>
      </c>
      <c r="G21" s="15">
        <f t="shared" si="0"/>
        <v>55043</v>
      </c>
      <c r="H21" s="14">
        <v>42547</v>
      </c>
      <c r="I21" s="14">
        <v>12496</v>
      </c>
      <c r="J21" s="27"/>
      <c r="K21" s="27"/>
      <c r="L21" s="27"/>
      <c r="M21" s="27"/>
      <c r="N21" s="27"/>
    </row>
    <row r="22" spans="1:14">
      <c r="A22" s="37"/>
      <c r="B22" s="47"/>
      <c r="C22" s="37"/>
      <c r="D22" s="37"/>
      <c r="E22" s="13" t="s">
        <v>154</v>
      </c>
      <c r="F22" s="13" t="s">
        <v>155</v>
      </c>
      <c r="G22" s="15">
        <f t="shared" si="0"/>
        <v>54514</v>
      </c>
      <c r="H22" s="14">
        <v>43018</v>
      </c>
      <c r="I22" s="14">
        <v>10742</v>
      </c>
      <c r="J22" s="27"/>
      <c r="K22" s="27"/>
      <c r="L22" s="14">
        <v>754</v>
      </c>
      <c r="M22" s="27"/>
      <c r="N22" s="27"/>
    </row>
    <row r="23" spans="1:14">
      <c r="A23" s="37"/>
      <c r="B23" s="47"/>
      <c r="C23" s="37"/>
      <c r="D23" s="37"/>
      <c r="E23" s="38" t="s">
        <v>11</v>
      </c>
      <c r="F23" s="38"/>
      <c r="G23" s="15">
        <f>SUM(G10:G22)</f>
        <v>3412013</v>
      </c>
      <c r="H23" s="15">
        <f t="shared" ref="H23:L23" si="1">SUM(H10:H22)</f>
        <v>2564010</v>
      </c>
      <c r="I23" s="15">
        <f t="shared" si="1"/>
        <v>656225</v>
      </c>
      <c r="J23" s="15"/>
      <c r="K23" s="15"/>
      <c r="L23" s="15">
        <f t="shared" si="1"/>
        <v>191778</v>
      </c>
      <c r="M23" s="15"/>
      <c r="N23" s="15"/>
    </row>
    <row r="24" spans="1:14" ht="20.45" customHeight="1">
      <c r="A24" s="37"/>
      <c r="B24" s="47"/>
      <c r="C24" s="37" t="s">
        <v>156</v>
      </c>
      <c r="D24" s="37" t="s">
        <v>157</v>
      </c>
      <c r="E24" s="13" t="s">
        <v>131</v>
      </c>
      <c r="F24" s="13" t="s">
        <v>2</v>
      </c>
      <c r="G24" s="15">
        <f t="shared" si="0"/>
        <v>191489</v>
      </c>
      <c r="H24" s="14">
        <v>8916</v>
      </c>
      <c r="I24" s="14">
        <f>117657-1415-1192</f>
        <v>115050</v>
      </c>
      <c r="J24" s="14">
        <v>1800</v>
      </c>
      <c r="K24" s="27"/>
      <c r="L24" s="14">
        <v>7043</v>
      </c>
      <c r="M24" s="14">
        <v>51380</v>
      </c>
      <c r="N24" s="14">
        <v>7300</v>
      </c>
    </row>
    <row r="25" spans="1:14" ht="18" customHeight="1">
      <c r="A25" s="37"/>
      <c r="B25" s="47"/>
      <c r="C25" s="37"/>
      <c r="D25" s="37"/>
      <c r="E25" s="38" t="s">
        <v>11</v>
      </c>
      <c r="F25" s="38"/>
      <c r="G25" s="15">
        <f>G24</f>
        <v>191489</v>
      </c>
      <c r="H25" s="15">
        <f t="shared" ref="H25:N25" si="2">H24</f>
        <v>8916</v>
      </c>
      <c r="I25" s="15">
        <f t="shared" si="2"/>
        <v>115050</v>
      </c>
      <c r="J25" s="15">
        <f t="shared" si="2"/>
        <v>1800</v>
      </c>
      <c r="K25" s="15"/>
      <c r="L25" s="15">
        <f t="shared" si="2"/>
        <v>7043</v>
      </c>
      <c r="M25" s="15">
        <f t="shared" si="2"/>
        <v>51380</v>
      </c>
      <c r="N25" s="15">
        <f t="shared" si="2"/>
        <v>7300</v>
      </c>
    </row>
    <row r="26" spans="1:14">
      <c r="A26" s="37"/>
      <c r="B26" s="47"/>
      <c r="C26" s="37" t="s">
        <v>158</v>
      </c>
      <c r="D26" s="37" t="s">
        <v>159</v>
      </c>
      <c r="E26" s="13" t="s">
        <v>131</v>
      </c>
      <c r="F26" s="13" t="s">
        <v>2</v>
      </c>
      <c r="G26" s="15">
        <f t="shared" si="0"/>
        <v>390000</v>
      </c>
      <c r="H26" s="27"/>
      <c r="I26" s="14">
        <v>40000</v>
      </c>
      <c r="J26" s="27"/>
      <c r="K26" s="14">
        <v>350000</v>
      </c>
      <c r="L26" s="27"/>
      <c r="M26" s="27"/>
      <c r="N26" s="27"/>
    </row>
    <row r="27" spans="1:14">
      <c r="A27" s="37"/>
      <c r="B27" s="47"/>
      <c r="C27" s="37"/>
      <c r="D27" s="37"/>
      <c r="E27" s="38" t="s">
        <v>11</v>
      </c>
      <c r="F27" s="38"/>
      <c r="G27" s="15">
        <f t="shared" si="0"/>
        <v>390000</v>
      </c>
      <c r="H27" s="28"/>
      <c r="I27" s="15">
        <v>40000</v>
      </c>
      <c r="J27" s="28"/>
      <c r="K27" s="15">
        <v>350000</v>
      </c>
      <c r="L27" s="28"/>
      <c r="M27" s="28"/>
      <c r="N27" s="28"/>
    </row>
    <row r="28" spans="1:14" ht="20.45" customHeight="1">
      <c r="A28" s="37"/>
      <c r="B28" s="48"/>
      <c r="C28" s="29" t="s">
        <v>11</v>
      </c>
      <c r="D28" s="62" t="s">
        <v>160</v>
      </c>
      <c r="E28" s="63"/>
      <c r="F28" s="64"/>
      <c r="G28" s="18">
        <f>G27+G25+G23</f>
        <v>3993502</v>
      </c>
      <c r="H28" s="18">
        <f t="shared" ref="H28:N28" si="3">H27+H25+H23</f>
        <v>2572926</v>
      </c>
      <c r="I28" s="18">
        <f t="shared" si="3"/>
        <v>811275</v>
      </c>
      <c r="J28" s="18">
        <f t="shared" si="3"/>
        <v>1800</v>
      </c>
      <c r="K28" s="18">
        <f t="shared" si="3"/>
        <v>350000</v>
      </c>
      <c r="L28" s="18">
        <f t="shared" si="3"/>
        <v>198821</v>
      </c>
      <c r="M28" s="18">
        <f t="shared" si="3"/>
        <v>51380</v>
      </c>
      <c r="N28" s="18">
        <f t="shared" si="3"/>
        <v>7300</v>
      </c>
    </row>
    <row r="29" spans="1:14">
      <c r="A29" s="37"/>
      <c r="B29" s="37" t="s">
        <v>55</v>
      </c>
      <c r="C29" s="37" t="s">
        <v>161</v>
      </c>
      <c r="D29" s="37" t="s">
        <v>162</v>
      </c>
      <c r="E29" s="13" t="s">
        <v>131</v>
      </c>
      <c r="F29" s="13" t="s">
        <v>2</v>
      </c>
      <c r="G29" s="15">
        <f t="shared" si="0"/>
        <v>126000</v>
      </c>
      <c r="H29" s="27"/>
      <c r="I29" s="14">
        <v>106000</v>
      </c>
      <c r="J29" s="27"/>
      <c r="K29" s="27"/>
      <c r="L29" s="14">
        <v>20000</v>
      </c>
      <c r="M29" s="27"/>
      <c r="N29" s="27"/>
    </row>
    <row r="30" spans="1:14">
      <c r="A30" s="37"/>
      <c r="B30" s="37"/>
      <c r="C30" s="37"/>
      <c r="D30" s="37"/>
      <c r="E30" s="38" t="s">
        <v>11</v>
      </c>
      <c r="F30" s="38"/>
      <c r="G30" s="15">
        <f t="shared" si="0"/>
        <v>126000</v>
      </c>
      <c r="H30" s="28"/>
      <c r="I30" s="15">
        <v>106000</v>
      </c>
      <c r="J30" s="28"/>
      <c r="K30" s="28"/>
      <c r="L30" s="15">
        <v>20000</v>
      </c>
      <c r="M30" s="28"/>
      <c r="N30" s="28"/>
    </row>
    <row r="31" spans="1:14">
      <c r="A31" s="37"/>
      <c r="B31" s="37"/>
      <c r="C31" s="37" t="s">
        <v>163</v>
      </c>
      <c r="D31" s="37" t="s">
        <v>164</v>
      </c>
      <c r="E31" s="13" t="s">
        <v>131</v>
      </c>
      <c r="F31" s="13" t="s">
        <v>2</v>
      </c>
      <c r="G31" s="15">
        <f t="shared" si="0"/>
        <v>79868</v>
      </c>
      <c r="H31" s="27"/>
      <c r="I31" s="14">
        <f>28405+23901</f>
        <v>52306</v>
      </c>
      <c r="J31" s="14">
        <v>9562</v>
      </c>
      <c r="K31" s="27"/>
      <c r="L31" s="14">
        <v>18000</v>
      </c>
      <c r="M31" s="27"/>
      <c r="N31" s="27"/>
    </row>
    <row r="32" spans="1:14">
      <c r="A32" s="37"/>
      <c r="B32" s="37"/>
      <c r="C32" s="37"/>
      <c r="D32" s="37"/>
      <c r="E32" s="13" t="s">
        <v>138</v>
      </c>
      <c r="F32" s="13" t="s">
        <v>139</v>
      </c>
      <c r="G32" s="15">
        <f t="shared" si="0"/>
        <v>9681</v>
      </c>
      <c r="H32" s="27"/>
      <c r="I32" s="27"/>
      <c r="J32" s="27"/>
      <c r="K32" s="27"/>
      <c r="L32" s="14">
        <v>9681</v>
      </c>
      <c r="M32" s="27"/>
      <c r="N32" s="27"/>
    </row>
    <row r="33" spans="1:14">
      <c r="A33" s="37"/>
      <c r="B33" s="37"/>
      <c r="C33" s="37"/>
      <c r="D33" s="37"/>
      <c r="E33" s="13" t="s">
        <v>140</v>
      </c>
      <c r="F33" s="13" t="s">
        <v>141</v>
      </c>
      <c r="G33" s="15">
        <f t="shared" si="0"/>
        <v>1411</v>
      </c>
      <c r="H33" s="27"/>
      <c r="I33" s="14">
        <v>211</v>
      </c>
      <c r="J33" s="14">
        <v>1200</v>
      </c>
      <c r="K33" s="27"/>
      <c r="L33" s="27"/>
      <c r="M33" s="27"/>
      <c r="N33" s="27"/>
    </row>
    <row r="34" spans="1:14">
      <c r="A34" s="37"/>
      <c r="B34" s="37"/>
      <c r="C34" s="37"/>
      <c r="D34" s="37"/>
      <c r="E34" s="13" t="s">
        <v>142</v>
      </c>
      <c r="F34" s="13" t="s">
        <v>143</v>
      </c>
      <c r="G34" s="15">
        <f t="shared" si="0"/>
        <v>2223</v>
      </c>
      <c r="H34" s="27"/>
      <c r="I34" s="14">
        <v>2223</v>
      </c>
      <c r="J34" s="27"/>
      <c r="K34" s="27"/>
      <c r="L34" s="27"/>
      <c r="M34" s="27"/>
      <c r="N34" s="27"/>
    </row>
    <row r="35" spans="1:14">
      <c r="A35" s="37"/>
      <c r="B35" s="37"/>
      <c r="C35" s="37"/>
      <c r="D35" s="37"/>
      <c r="E35" s="13" t="s">
        <v>146</v>
      </c>
      <c r="F35" s="13" t="s">
        <v>147</v>
      </c>
      <c r="G35" s="15">
        <f t="shared" si="0"/>
        <v>85357</v>
      </c>
      <c r="H35" s="27"/>
      <c r="I35" s="14">
        <v>25039</v>
      </c>
      <c r="J35" s="27"/>
      <c r="K35" s="27"/>
      <c r="L35" s="14">
        <v>60318</v>
      </c>
      <c r="M35" s="27"/>
      <c r="N35" s="27"/>
    </row>
    <row r="36" spans="1:14">
      <c r="A36" s="37"/>
      <c r="B36" s="37"/>
      <c r="C36" s="37"/>
      <c r="D36" s="37"/>
      <c r="E36" s="35" t="s">
        <v>152</v>
      </c>
      <c r="F36" s="13" t="s">
        <v>153</v>
      </c>
      <c r="G36" s="15">
        <f t="shared" si="0"/>
        <v>9999</v>
      </c>
      <c r="H36" s="27"/>
      <c r="I36" s="14">
        <v>9999</v>
      </c>
      <c r="J36" s="27"/>
      <c r="K36" s="27"/>
      <c r="L36" s="14"/>
      <c r="M36" s="27"/>
      <c r="N36" s="27"/>
    </row>
    <row r="37" spans="1:14">
      <c r="A37" s="37"/>
      <c r="B37" s="37"/>
      <c r="C37" s="37"/>
      <c r="D37" s="37"/>
      <c r="E37" s="38" t="s">
        <v>11</v>
      </c>
      <c r="F37" s="38"/>
      <c r="G37" s="15">
        <f>SUM(G31:G36)</f>
        <v>188539</v>
      </c>
      <c r="H37" s="15"/>
      <c r="I37" s="15">
        <f t="shared" ref="I37:L37" si="4">SUM(I31:I36)</f>
        <v>89778</v>
      </c>
      <c r="J37" s="15">
        <f t="shared" si="4"/>
        <v>10762</v>
      </c>
      <c r="K37" s="15"/>
      <c r="L37" s="15">
        <f t="shared" si="4"/>
        <v>87999</v>
      </c>
      <c r="M37" s="15"/>
      <c r="N37" s="15"/>
    </row>
    <row r="38" spans="1:14">
      <c r="A38" s="37"/>
      <c r="B38" s="37"/>
      <c r="C38" s="37" t="s">
        <v>165</v>
      </c>
      <c r="D38" s="37" t="s">
        <v>166</v>
      </c>
      <c r="E38" s="13" t="s">
        <v>131</v>
      </c>
      <c r="F38" s="13" t="s">
        <v>2</v>
      </c>
      <c r="G38" s="15">
        <f t="shared" si="0"/>
        <v>75670</v>
      </c>
      <c r="H38" s="27"/>
      <c r="I38" s="14">
        <f>113082-37412</f>
        <v>75670</v>
      </c>
      <c r="J38" s="27"/>
      <c r="K38" s="27"/>
      <c r="L38" s="14"/>
      <c r="M38" s="27"/>
      <c r="N38" s="27"/>
    </row>
    <row r="39" spans="1:14">
      <c r="A39" s="37"/>
      <c r="B39" s="37"/>
      <c r="C39" s="37"/>
      <c r="D39" s="37"/>
      <c r="E39" s="13" t="s">
        <v>132</v>
      </c>
      <c r="F39" s="13" t="s">
        <v>133</v>
      </c>
      <c r="G39" s="15">
        <f t="shared" si="0"/>
        <v>172473</v>
      </c>
      <c r="H39" s="27"/>
      <c r="I39" s="14">
        <v>35015</v>
      </c>
      <c r="J39" s="27"/>
      <c r="K39" s="27"/>
      <c r="L39" s="14">
        <v>137458</v>
      </c>
      <c r="M39" s="27"/>
      <c r="N39" s="27"/>
    </row>
    <row r="40" spans="1:14">
      <c r="A40" s="37"/>
      <c r="B40" s="37"/>
      <c r="C40" s="37"/>
      <c r="D40" s="37"/>
      <c r="E40" s="13" t="s">
        <v>134</v>
      </c>
      <c r="F40" s="13" t="s">
        <v>135</v>
      </c>
      <c r="G40" s="15">
        <f t="shared" si="0"/>
        <v>382815</v>
      </c>
      <c r="H40" s="27"/>
      <c r="I40" s="14">
        <v>76072</v>
      </c>
      <c r="J40" s="27"/>
      <c r="K40" s="27"/>
      <c r="L40" s="14">
        <v>306743</v>
      </c>
      <c r="M40" s="27"/>
      <c r="N40" s="27"/>
    </row>
    <row r="41" spans="1:14">
      <c r="A41" s="37"/>
      <c r="B41" s="37"/>
      <c r="C41" s="37"/>
      <c r="D41" s="37"/>
      <c r="E41" s="13" t="s">
        <v>136</v>
      </c>
      <c r="F41" s="13" t="s">
        <v>137</v>
      </c>
      <c r="G41" s="15">
        <f t="shared" si="0"/>
        <v>253299</v>
      </c>
      <c r="H41" s="27"/>
      <c r="I41" s="14">
        <v>55998</v>
      </c>
      <c r="J41" s="27"/>
      <c r="K41" s="27"/>
      <c r="L41" s="14">
        <v>197301</v>
      </c>
      <c r="M41" s="27"/>
      <c r="N41" s="27"/>
    </row>
    <row r="42" spans="1:14">
      <c r="A42" s="37"/>
      <c r="B42" s="37"/>
      <c r="C42" s="37"/>
      <c r="D42" s="37"/>
      <c r="E42" s="13" t="s">
        <v>138</v>
      </c>
      <c r="F42" s="13" t="s">
        <v>139</v>
      </c>
      <c r="G42" s="15">
        <f t="shared" si="0"/>
        <v>39553</v>
      </c>
      <c r="H42" s="27"/>
      <c r="I42" s="14">
        <v>39553</v>
      </c>
      <c r="J42" s="27"/>
      <c r="K42" s="27"/>
      <c r="L42" s="27"/>
      <c r="M42" s="27"/>
      <c r="N42" s="27"/>
    </row>
    <row r="43" spans="1:14">
      <c r="A43" s="37"/>
      <c r="B43" s="37"/>
      <c r="C43" s="37"/>
      <c r="D43" s="37"/>
      <c r="E43" s="13" t="s">
        <v>140</v>
      </c>
      <c r="F43" s="13" t="s">
        <v>141</v>
      </c>
      <c r="G43" s="15">
        <f t="shared" si="0"/>
        <v>16593</v>
      </c>
      <c r="H43" s="14">
        <v>6874</v>
      </c>
      <c r="I43" s="14">
        <v>9719</v>
      </c>
      <c r="J43" s="27"/>
      <c r="K43" s="27"/>
      <c r="L43" s="27"/>
      <c r="M43" s="27"/>
      <c r="N43" s="27"/>
    </row>
    <row r="44" spans="1:14">
      <c r="A44" s="37"/>
      <c r="B44" s="37"/>
      <c r="C44" s="37"/>
      <c r="D44" s="37"/>
      <c r="E44" s="13" t="s">
        <v>142</v>
      </c>
      <c r="F44" s="13" t="s">
        <v>143</v>
      </c>
      <c r="G44" s="15">
        <f t="shared" si="0"/>
        <v>254693</v>
      </c>
      <c r="H44" s="27"/>
      <c r="I44" s="14">
        <v>91654</v>
      </c>
      <c r="J44" s="27"/>
      <c r="K44" s="27"/>
      <c r="L44" s="14">
        <v>163039</v>
      </c>
      <c r="M44" s="27"/>
      <c r="N44" s="27"/>
    </row>
    <row r="45" spans="1:14">
      <c r="A45" s="37"/>
      <c r="B45" s="37"/>
      <c r="C45" s="37"/>
      <c r="D45" s="37"/>
      <c r="E45" s="13" t="s">
        <v>144</v>
      </c>
      <c r="F45" s="13" t="s">
        <v>145</v>
      </c>
      <c r="G45" s="15">
        <f t="shared" si="0"/>
        <v>50614</v>
      </c>
      <c r="H45" s="27"/>
      <c r="I45" s="14">
        <v>50251</v>
      </c>
      <c r="J45" s="27"/>
      <c r="K45" s="27"/>
      <c r="L45" s="27">
        <v>363</v>
      </c>
      <c r="M45" s="27"/>
      <c r="N45" s="27"/>
    </row>
    <row r="46" spans="1:14">
      <c r="A46" s="37"/>
      <c r="B46" s="37"/>
      <c r="C46" s="37"/>
      <c r="D46" s="37"/>
      <c r="E46" s="13" t="s">
        <v>146</v>
      </c>
      <c r="F46" s="13" t="s">
        <v>147</v>
      </c>
      <c r="G46" s="15">
        <f t="shared" si="0"/>
        <v>32593</v>
      </c>
      <c r="H46" s="14">
        <v>2903</v>
      </c>
      <c r="I46" s="14">
        <v>29690</v>
      </c>
      <c r="J46" s="27"/>
      <c r="K46" s="27"/>
      <c r="L46" s="27"/>
      <c r="M46" s="27"/>
      <c r="N46" s="27"/>
    </row>
    <row r="47" spans="1:14">
      <c r="A47" s="37"/>
      <c r="B47" s="37"/>
      <c r="C47" s="37"/>
      <c r="D47" s="37"/>
      <c r="E47" s="13" t="s">
        <v>148</v>
      </c>
      <c r="F47" s="13" t="s">
        <v>149</v>
      </c>
      <c r="G47" s="15">
        <f t="shared" si="0"/>
        <v>32285</v>
      </c>
      <c r="H47" s="27"/>
      <c r="I47" s="14">
        <v>32285</v>
      </c>
      <c r="J47" s="27"/>
      <c r="K47" s="27"/>
      <c r="L47" s="27"/>
      <c r="M47" s="27"/>
      <c r="N47" s="27"/>
    </row>
    <row r="48" spans="1:14">
      <c r="A48" s="37"/>
      <c r="B48" s="37"/>
      <c r="C48" s="37"/>
      <c r="D48" s="37"/>
      <c r="E48" s="13" t="s">
        <v>150</v>
      </c>
      <c r="F48" s="13" t="s">
        <v>151</v>
      </c>
      <c r="G48" s="15">
        <f t="shared" si="0"/>
        <v>201301</v>
      </c>
      <c r="H48" s="14">
        <v>1190</v>
      </c>
      <c r="I48" s="14">
        <v>57444</v>
      </c>
      <c r="J48" s="27"/>
      <c r="K48" s="27"/>
      <c r="L48" s="14">
        <v>142667</v>
      </c>
      <c r="M48" s="27"/>
      <c r="N48" s="27"/>
    </row>
    <row r="49" spans="1:14">
      <c r="A49" s="37"/>
      <c r="B49" s="37"/>
      <c r="C49" s="37"/>
      <c r="D49" s="37"/>
      <c r="E49" s="13" t="s">
        <v>152</v>
      </c>
      <c r="F49" s="13" t="s">
        <v>153</v>
      </c>
      <c r="G49" s="15">
        <f t="shared" si="0"/>
        <v>39989</v>
      </c>
      <c r="H49" s="27"/>
      <c r="I49" s="14">
        <v>32598</v>
      </c>
      <c r="J49" s="27"/>
      <c r="K49" s="27"/>
      <c r="L49" s="14">
        <v>7391</v>
      </c>
      <c r="M49" s="27"/>
      <c r="N49" s="27"/>
    </row>
    <row r="50" spans="1:14">
      <c r="A50" s="37"/>
      <c r="B50" s="37"/>
      <c r="C50" s="37"/>
      <c r="D50" s="37"/>
      <c r="E50" s="13" t="s">
        <v>154</v>
      </c>
      <c r="F50" s="13" t="s">
        <v>155</v>
      </c>
      <c r="G50" s="15">
        <f t="shared" si="0"/>
        <v>39026</v>
      </c>
      <c r="H50" s="27"/>
      <c r="I50" s="14">
        <v>25994</v>
      </c>
      <c r="J50" s="27"/>
      <c r="K50" s="27"/>
      <c r="L50" s="14">
        <v>13032</v>
      </c>
      <c r="M50" s="27"/>
      <c r="N50" s="27"/>
    </row>
    <row r="51" spans="1:14">
      <c r="A51" s="37"/>
      <c r="B51" s="37"/>
      <c r="C51" s="37"/>
      <c r="D51" s="37"/>
      <c r="E51" s="38" t="s">
        <v>11</v>
      </c>
      <c r="F51" s="38"/>
      <c r="G51" s="15">
        <f>SUM(G38:G50)</f>
        <v>1590904</v>
      </c>
      <c r="H51" s="15">
        <f t="shared" ref="H51:L51" si="5">SUM(H38:H50)</f>
        <v>10967</v>
      </c>
      <c r="I51" s="15">
        <f t="shared" si="5"/>
        <v>611943</v>
      </c>
      <c r="J51" s="15"/>
      <c r="K51" s="15"/>
      <c r="L51" s="15">
        <f t="shared" si="5"/>
        <v>967994</v>
      </c>
      <c r="M51" s="15"/>
      <c r="N51" s="15"/>
    </row>
    <row r="52" spans="1:14">
      <c r="A52" s="37"/>
      <c r="B52" s="37"/>
      <c r="C52" s="37" t="s">
        <v>167</v>
      </c>
      <c r="D52" s="37" t="s">
        <v>168</v>
      </c>
      <c r="E52" s="13" t="s">
        <v>131</v>
      </c>
      <c r="F52" s="13" t="s">
        <v>2</v>
      </c>
      <c r="G52" s="15">
        <f t="shared" si="0"/>
        <v>272286</v>
      </c>
      <c r="H52" s="27"/>
      <c r="I52" s="14">
        <v>35901</v>
      </c>
      <c r="J52" s="14">
        <v>50472</v>
      </c>
      <c r="K52" s="27"/>
      <c r="L52" s="14">
        <v>185913</v>
      </c>
      <c r="M52" s="27"/>
      <c r="N52" s="27"/>
    </row>
    <row r="53" spans="1:14">
      <c r="A53" s="37"/>
      <c r="B53" s="37"/>
      <c r="C53" s="37"/>
      <c r="D53" s="37"/>
      <c r="E53" s="38" t="s">
        <v>11</v>
      </c>
      <c r="F53" s="38"/>
      <c r="G53" s="15">
        <f>G52</f>
        <v>272286</v>
      </c>
      <c r="H53" s="15"/>
      <c r="I53" s="15">
        <f t="shared" ref="I53:L53" si="6">I52</f>
        <v>35901</v>
      </c>
      <c r="J53" s="15">
        <f t="shared" si="6"/>
        <v>50472</v>
      </c>
      <c r="K53" s="15"/>
      <c r="L53" s="15">
        <f t="shared" si="6"/>
        <v>185913</v>
      </c>
      <c r="M53" s="15"/>
      <c r="N53" s="15"/>
    </row>
    <row r="54" spans="1:14">
      <c r="A54" s="37"/>
      <c r="B54" s="37"/>
      <c r="C54" s="37" t="s">
        <v>169</v>
      </c>
      <c r="D54" s="37" t="s">
        <v>170</v>
      </c>
      <c r="E54" s="13" t="s">
        <v>131</v>
      </c>
      <c r="F54" s="13" t="s">
        <v>2</v>
      </c>
      <c r="G54" s="15">
        <f t="shared" si="0"/>
        <v>41669</v>
      </c>
      <c r="H54" s="14">
        <v>2309</v>
      </c>
      <c r="I54" s="27"/>
      <c r="J54" s="27"/>
      <c r="K54" s="27"/>
      <c r="L54" s="27"/>
      <c r="M54" s="14">
        <v>39027</v>
      </c>
      <c r="N54" s="14">
        <v>333</v>
      </c>
    </row>
    <row r="55" spans="1:14">
      <c r="A55" s="37"/>
      <c r="B55" s="37"/>
      <c r="C55" s="37"/>
      <c r="D55" s="37"/>
      <c r="E55" s="38" t="s">
        <v>11</v>
      </c>
      <c r="F55" s="38"/>
      <c r="G55" s="15">
        <f>G54</f>
        <v>41669</v>
      </c>
      <c r="H55" s="15">
        <f t="shared" ref="H55:N55" si="7">H54</f>
        <v>2309</v>
      </c>
      <c r="I55" s="15"/>
      <c r="J55" s="15"/>
      <c r="K55" s="15"/>
      <c r="L55" s="15"/>
      <c r="M55" s="15">
        <f t="shared" si="7"/>
        <v>39027</v>
      </c>
      <c r="N55" s="15">
        <f t="shared" si="7"/>
        <v>333</v>
      </c>
    </row>
    <row r="56" spans="1:14">
      <c r="A56" s="37"/>
      <c r="B56" s="37"/>
      <c r="C56" s="29" t="s">
        <v>11</v>
      </c>
      <c r="D56" s="62" t="s">
        <v>171</v>
      </c>
      <c r="E56" s="63"/>
      <c r="F56" s="64"/>
      <c r="G56" s="18">
        <f>G55+G53+G51+G37+G30</f>
        <v>2219398</v>
      </c>
      <c r="H56" s="18">
        <f t="shared" ref="H56:N56" si="8">H55+H53+H51+H37+H30</f>
        <v>13276</v>
      </c>
      <c r="I56" s="18">
        <f t="shared" si="8"/>
        <v>843622</v>
      </c>
      <c r="J56" s="18">
        <f t="shared" si="8"/>
        <v>61234</v>
      </c>
      <c r="K56" s="18"/>
      <c r="L56" s="18">
        <f t="shared" si="8"/>
        <v>1261906</v>
      </c>
      <c r="M56" s="18">
        <f t="shared" si="8"/>
        <v>39027</v>
      </c>
      <c r="N56" s="18">
        <f t="shared" si="8"/>
        <v>333</v>
      </c>
    </row>
    <row r="57" spans="1:14">
      <c r="A57" s="37"/>
      <c r="B57" s="37" t="s">
        <v>57</v>
      </c>
      <c r="C57" s="37" t="s">
        <v>172</v>
      </c>
      <c r="D57" s="37" t="s">
        <v>173</v>
      </c>
      <c r="E57" s="13" t="s">
        <v>131</v>
      </c>
      <c r="F57" s="13" t="s">
        <v>2</v>
      </c>
      <c r="G57" s="15">
        <f t="shared" si="0"/>
        <v>165689</v>
      </c>
      <c r="H57" s="27"/>
      <c r="I57" s="14">
        <f>79089+74527</f>
        <v>153616</v>
      </c>
      <c r="J57" s="27"/>
      <c r="K57" s="27"/>
      <c r="L57" s="14">
        <f>12073</f>
        <v>12073</v>
      </c>
      <c r="M57" s="27"/>
      <c r="N57" s="27"/>
    </row>
    <row r="58" spans="1:14">
      <c r="A58" s="37"/>
      <c r="B58" s="37"/>
      <c r="C58" s="37"/>
      <c r="D58" s="37"/>
      <c r="E58" s="13" t="s">
        <v>132</v>
      </c>
      <c r="F58" s="13" t="s">
        <v>133</v>
      </c>
      <c r="G58" s="15">
        <f t="shared" si="0"/>
        <v>8419</v>
      </c>
      <c r="H58" s="27"/>
      <c r="I58" s="14">
        <v>4268</v>
      </c>
      <c r="J58" s="27"/>
      <c r="K58" s="27"/>
      <c r="L58" s="14">
        <v>4151</v>
      </c>
      <c r="M58" s="27"/>
      <c r="N58" s="27"/>
    </row>
    <row r="59" spans="1:14">
      <c r="A59" s="37"/>
      <c r="B59" s="37"/>
      <c r="C59" s="37"/>
      <c r="D59" s="37"/>
      <c r="E59" s="13" t="s">
        <v>134</v>
      </c>
      <c r="F59" s="13" t="s">
        <v>135</v>
      </c>
      <c r="G59" s="15">
        <f t="shared" si="0"/>
        <v>70767</v>
      </c>
      <c r="H59" s="27"/>
      <c r="I59" s="14">
        <v>12460</v>
      </c>
      <c r="J59" s="27"/>
      <c r="K59" s="27"/>
      <c r="L59" s="14">
        <v>58307</v>
      </c>
      <c r="M59" s="27"/>
      <c r="N59" s="27"/>
    </row>
    <row r="60" spans="1:14">
      <c r="A60" s="37"/>
      <c r="B60" s="37"/>
      <c r="C60" s="37"/>
      <c r="D60" s="37"/>
      <c r="E60" s="13" t="s">
        <v>136</v>
      </c>
      <c r="F60" s="13" t="s">
        <v>137</v>
      </c>
      <c r="G60" s="15">
        <f t="shared" si="0"/>
        <v>4319</v>
      </c>
      <c r="H60" s="27"/>
      <c r="I60" s="14">
        <v>4319</v>
      </c>
      <c r="J60" s="27"/>
      <c r="K60" s="27"/>
      <c r="L60" s="27"/>
      <c r="M60" s="27"/>
      <c r="N60" s="27"/>
    </row>
    <row r="61" spans="1:14">
      <c r="A61" s="37"/>
      <c r="B61" s="37"/>
      <c r="C61" s="37"/>
      <c r="D61" s="37"/>
      <c r="E61" s="13" t="s">
        <v>138</v>
      </c>
      <c r="F61" s="13" t="s">
        <v>139</v>
      </c>
      <c r="G61" s="15">
        <f t="shared" si="0"/>
        <v>13070</v>
      </c>
      <c r="H61" s="27"/>
      <c r="I61" s="14">
        <v>5443</v>
      </c>
      <c r="J61" s="27"/>
      <c r="K61" s="27"/>
      <c r="L61" s="14">
        <v>7627</v>
      </c>
      <c r="M61" s="27"/>
      <c r="N61" s="27"/>
    </row>
    <row r="62" spans="1:14">
      <c r="A62" s="37"/>
      <c r="B62" s="37"/>
      <c r="C62" s="37"/>
      <c r="D62" s="37"/>
      <c r="E62" s="13" t="s">
        <v>140</v>
      </c>
      <c r="F62" s="13" t="s">
        <v>141</v>
      </c>
      <c r="G62" s="15">
        <f t="shared" si="0"/>
        <v>3794</v>
      </c>
      <c r="H62" s="27"/>
      <c r="I62" s="14">
        <v>3794</v>
      </c>
      <c r="J62" s="27"/>
      <c r="K62" s="27"/>
      <c r="L62" s="27"/>
      <c r="M62" s="27"/>
      <c r="N62" s="27"/>
    </row>
    <row r="63" spans="1:14">
      <c r="A63" s="37"/>
      <c r="B63" s="37"/>
      <c r="C63" s="37"/>
      <c r="D63" s="37"/>
      <c r="E63" s="13" t="s">
        <v>142</v>
      </c>
      <c r="F63" s="13" t="s">
        <v>143</v>
      </c>
      <c r="G63" s="15">
        <f t="shared" si="0"/>
        <v>14414</v>
      </c>
      <c r="H63" s="27"/>
      <c r="I63" s="14">
        <v>14414</v>
      </c>
      <c r="J63" s="27"/>
      <c r="K63" s="27"/>
      <c r="L63" s="27"/>
      <c r="M63" s="27"/>
      <c r="N63" s="27"/>
    </row>
    <row r="64" spans="1:14">
      <c r="A64" s="37"/>
      <c r="B64" s="37"/>
      <c r="C64" s="37"/>
      <c r="D64" s="37"/>
      <c r="E64" s="13" t="s">
        <v>144</v>
      </c>
      <c r="F64" s="13" t="s">
        <v>145</v>
      </c>
      <c r="G64" s="15">
        <f t="shared" si="0"/>
        <v>7065</v>
      </c>
      <c r="H64" s="27"/>
      <c r="I64" s="14">
        <v>7065</v>
      </c>
      <c r="J64" s="27"/>
      <c r="K64" s="27"/>
      <c r="L64" s="27"/>
      <c r="M64" s="27"/>
      <c r="N64" s="27"/>
    </row>
    <row r="65" spans="1:14">
      <c r="A65" s="37"/>
      <c r="B65" s="37"/>
      <c r="C65" s="37"/>
      <c r="D65" s="37"/>
      <c r="E65" s="13" t="s">
        <v>146</v>
      </c>
      <c r="F65" s="13" t="s">
        <v>147</v>
      </c>
      <c r="G65" s="15">
        <f t="shared" si="0"/>
        <v>7150</v>
      </c>
      <c r="H65" s="27"/>
      <c r="I65" s="14">
        <v>1850</v>
      </c>
      <c r="J65" s="27"/>
      <c r="K65" s="27"/>
      <c r="L65" s="14">
        <v>5300</v>
      </c>
      <c r="M65" s="27"/>
      <c r="N65" s="27"/>
    </row>
    <row r="66" spans="1:14">
      <c r="A66" s="37"/>
      <c r="B66" s="37"/>
      <c r="C66" s="37"/>
      <c r="D66" s="37"/>
      <c r="E66" s="13" t="s">
        <v>148</v>
      </c>
      <c r="F66" s="13" t="s">
        <v>149</v>
      </c>
      <c r="G66" s="15">
        <f t="shared" si="0"/>
        <v>3033</v>
      </c>
      <c r="H66" s="27"/>
      <c r="I66" s="14">
        <v>3033</v>
      </c>
      <c r="J66" s="27"/>
      <c r="K66" s="27"/>
      <c r="L66" s="27"/>
      <c r="M66" s="27"/>
      <c r="N66" s="27"/>
    </row>
    <row r="67" spans="1:14">
      <c r="A67" s="37"/>
      <c r="B67" s="37"/>
      <c r="C67" s="37"/>
      <c r="D67" s="37"/>
      <c r="E67" s="13" t="s">
        <v>150</v>
      </c>
      <c r="F67" s="13" t="s">
        <v>151</v>
      </c>
      <c r="G67" s="15">
        <f t="shared" si="0"/>
        <v>9953</v>
      </c>
      <c r="H67" s="27"/>
      <c r="I67" s="14">
        <v>9683</v>
      </c>
      <c r="J67" s="27"/>
      <c r="K67" s="27"/>
      <c r="L67" s="14">
        <v>270</v>
      </c>
      <c r="M67" s="27"/>
      <c r="N67" s="27"/>
    </row>
    <row r="68" spans="1:14">
      <c r="A68" s="37"/>
      <c r="B68" s="37"/>
      <c r="C68" s="37"/>
      <c r="D68" s="37"/>
      <c r="E68" s="13" t="s">
        <v>152</v>
      </c>
      <c r="F68" s="13" t="s">
        <v>153</v>
      </c>
      <c r="G68" s="15">
        <f t="shared" si="0"/>
        <v>4011</v>
      </c>
      <c r="H68" s="27"/>
      <c r="I68" s="14">
        <v>4011</v>
      </c>
      <c r="J68" s="27"/>
      <c r="K68" s="27"/>
      <c r="L68" s="27"/>
      <c r="M68" s="27"/>
      <c r="N68" s="27"/>
    </row>
    <row r="69" spans="1:14">
      <c r="A69" s="37"/>
      <c r="B69" s="37"/>
      <c r="C69" s="37"/>
      <c r="D69" s="37"/>
      <c r="E69" s="13" t="s">
        <v>154</v>
      </c>
      <c r="F69" s="13" t="s">
        <v>155</v>
      </c>
      <c r="G69" s="15">
        <f t="shared" si="0"/>
        <v>2271</v>
      </c>
      <c r="H69" s="27"/>
      <c r="I69" s="14">
        <v>2271</v>
      </c>
      <c r="J69" s="27"/>
      <c r="K69" s="27"/>
      <c r="L69" s="27"/>
      <c r="M69" s="27"/>
      <c r="N69" s="27"/>
    </row>
    <row r="70" spans="1:14">
      <c r="A70" s="37"/>
      <c r="B70" s="37"/>
      <c r="C70" s="37"/>
      <c r="D70" s="37"/>
      <c r="E70" s="38" t="s">
        <v>11</v>
      </c>
      <c r="F70" s="38"/>
      <c r="G70" s="15">
        <f>SUM(G57:G69)</f>
        <v>313955</v>
      </c>
      <c r="H70" s="15"/>
      <c r="I70" s="15">
        <f t="shared" ref="I70:L70" si="9">SUM(I57:I69)</f>
        <v>226227</v>
      </c>
      <c r="J70" s="15"/>
      <c r="K70" s="15"/>
      <c r="L70" s="15">
        <f t="shared" si="9"/>
        <v>87728</v>
      </c>
      <c r="M70" s="15"/>
      <c r="N70" s="15"/>
    </row>
    <row r="71" spans="1:14">
      <c r="A71" s="37"/>
      <c r="B71" s="37"/>
      <c r="C71" s="29" t="s">
        <v>11</v>
      </c>
      <c r="D71" s="62" t="s">
        <v>174</v>
      </c>
      <c r="E71" s="63"/>
      <c r="F71" s="64"/>
      <c r="G71" s="18">
        <f>G70</f>
        <v>313955</v>
      </c>
      <c r="H71" s="18"/>
      <c r="I71" s="18">
        <f t="shared" ref="I71:L71" si="10">I70</f>
        <v>226227</v>
      </c>
      <c r="J71" s="18"/>
      <c r="K71" s="18"/>
      <c r="L71" s="18">
        <f t="shared" si="10"/>
        <v>87728</v>
      </c>
      <c r="M71" s="18"/>
      <c r="N71" s="18"/>
    </row>
    <row r="72" spans="1:14">
      <c r="A72" s="37"/>
      <c r="B72" s="37" t="s">
        <v>59</v>
      </c>
      <c r="C72" s="37" t="s">
        <v>175</v>
      </c>
      <c r="D72" s="37" t="s">
        <v>176</v>
      </c>
      <c r="E72" s="13" t="s">
        <v>131</v>
      </c>
      <c r="F72" s="13" t="s">
        <v>2</v>
      </c>
      <c r="G72" s="15">
        <f t="shared" si="0"/>
        <v>802358</v>
      </c>
      <c r="H72" s="14">
        <v>27585</v>
      </c>
      <c r="I72" s="14">
        <f>422669-3762-2590</f>
        <v>416317</v>
      </c>
      <c r="J72" s="14">
        <v>340700</v>
      </c>
      <c r="K72" s="27"/>
      <c r="L72" s="14">
        <v>17756</v>
      </c>
      <c r="M72" s="27"/>
      <c r="N72" s="27"/>
    </row>
    <row r="73" spans="1:14">
      <c r="A73" s="37"/>
      <c r="B73" s="37"/>
      <c r="C73" s="37"/>
      <c r="D73" s="37"/>
      <c r="E73" s="38" t="s">
        <v>11</v>
      </c>
      <c r="F73" s="38"/>
      <c r="G73" s="15">
        <f>G72</f>
        <v>802358</v>
      </c>
      <c r="H73" s="15">
        <f t="shared" ref="H73:L73" si="11">H72</f>
        <v>27585</v>
      </c>
      <c r="I73" s="15">
        <f t="shared" si="11"/>
        <v>416317</v>
      </c>
      <c r="J73" s="15">
        <f t="shared" si="11"/>
        <v>340700</v>
      </c>
      <c r="K73" s="15"/>
      <c r="L73" s="15">
        <f t="shared" si="11"/>
        <v>17756</v>
      </c>
      <c r="M73" s="15"/>
      <c r="N73" s="15"/>
    </row>
    <row r="74" spans="1:14">
      <c r="A74" s="37"/>
      <c r="B74" s="37"/>
      <c r="C74" s="37" t="s">
        <v>177</v>
      </c>
      <c r="D74" s="37" t="s">
        <v>178</v>
      </c>
      <c r="E74" s="13" t="s">
        <v>132</v>
      </c>
      <c r="F74" s="13" t="s">
        <v>133</v>
      </c>
      <c r="G74" s="15">
        <f t="shared" si="0"/>
        <v>6050</v>
      </c>
      <c r="H74" s="27"/>
      <c r="I74" s="14">
        <v>6050</v>
      </c>
      <c r="J74" s="27"/>
      <c r="K74" s="27"/>
      <c r="L74" s="27"/>
      <c r="M74" s="27"/>
      <c r="N74" s="27"/>
    </row>
    <row r="75" spans="1:14">
      <c r="A75" s="37"/>
      <c r="B75" s="37"/>
      <c r="C75" s="37"/>
      <c r="D75" s="37"/>
      <c r="E75" s="13" t="s">
        <v>136</v>
      </c>
      <c r="F75" s="13" t="s">
        <v>137</v>
      </c>
      <c r="G75" s="15">
        <f t="shared" si="0"/>
        <v>22128</v>
      </c>
      <c r="H75" s="27"/>
      <c r="I75" s="14">
        <v>22128</v>
      </c>
      <c r="J75" s="27"/>
      <c r="K75" s="27"/>
      <c r="L75" s="27"/>
      <c r="M75" s="27"/>
      <c r="N75" s="27"/>
    </row>
    <row r="76" spans="1:14">
      <c r="A76" s="37"/>
      <c r="B76" s="37"/>
      <c r="C76" s="37"/>
      <c r="D76" s="37"/>
      <c r="E76" s="13" t="s">
        <v>150</v>
      </c>
      <c r="F76" s="13" t="s">
        <v>151</v>
      </c>
      <c r="G76" s="15">
        <f t="shared" ref="G76:G142" si="12">SUM(H76:N76)</f>
        <v>29660</v>
      </c>
      <c r="H76" s="14">
        <v>1749</v>
      </c>
      <c r="I76" s="14">
        <v>23434</v>
      </c>
      <c r="J76" s="27"/>
      <c r="K76" s="27"/>
      <c r="L76" s="27">
        <v>4477</v>
      </c>
      <c r="M76" s="27"/>
      <c r="N76" s="27"/>
    </row>
    <row r="77" spans="1:14">
      <c r="A77" s="37"/>
      <c r="B77" s="37"/>
      <c r="C77" s="37"/>
      <c r="D77" s="37"/>
      <c r="E77" s="38" t="s">
        <v>11</v>
      </c>
      <c r="F77" s="38"/>
      <c r="G77" s="15">
        <f>SUM(G74:G76)</f>
        <v>57838</v>
      </c>
      <c r="H77" s="15">
        <f t="shared" ref="H77:L77" si="13">SUM(H74:H76)</f>
        <v>1749</v>
      </c>
      <c r="I77" s="15">
        <f t="shared" si="13"/>
        <v>51612</v>
      </c>
      <c r="J77" s="15"/>
      <c r="K77" s="15"/>
      <c r="L77" s="15">
        <f t="shared" si="13"/>
        <v>4477</v>
      </c>
      <c r="M77" s="15"/>
      <c r="N77" s="15"/>
    </row>
    <row r="78" spans="1:14">
      <c r="A78" s="37"/>
      <c r="B78" s="37"/>
      <c r="C78" s="37" t="s">
        <v>179</v>
      </c>
      <c r="D78" s="37" t="s">
        <v>180</v>
      </c>
      <c r="E78" s="13" t="s">
        <v>132</v>
      </c>
      <c r="F78" s="13" t="s">
        <v>133</v>
      </c>
      <c r="G78" s="15">
        <f t="shared" si="12"/>
        <v>4477</v>
      </c>
      <c r="H78" s="27"/>
      <c r="I78" s="14">
        <v>3529</v>
      </c>
      <c r="J78" s="27"/>
      <c r="K78" s="27"/>
      <c r="L78" s="14">
        <v>948</v>
      </c>
      <c r="M78" s="27"/>
      <c r="N78" s="27"/>
    </row>
    <row r="79" spans="1:14">
      <c r="A79" s="37"/>
      <c r="B79" s="37"/>
      <c r="C79" s="37"/>
      <c r="D79" s="37"/>
      <c r="E79" s="13" t="s">
        <v>134</v>
      </c>
      <c r="F79" s="13" t="s">
        <v>135</v>
      </c>
      <c r="G79" s="15">
        <f t="shared" si="12"/>
        <v>3309</v>
      </c>
      <c r="H79" s="27"/>
      <c r="I79" s="14">
        <v>1184</v>
      </c>
      <c r="J79" s="27"/>
      <c r="K79" s="27"/>
      <c r="L79" s="14">
        <v>2125</v>
      </c>
      <c r="M79" s="27"/>
      <c r="N79" s="27"/>
    </row>
    <row r="80" spans="1:14">
      <c r="A80" s="37"/>
      <c r="B80" s="37"/>
      <c r="C80" s="37"/>
      <c r="D80" s="37"/>
      <c r="E80" s="13" t="s">
        <v>136</v>
      </c>
      <c r="F80" s="13" t="s">
        <v>137</v>
      </c>
      <c r="G80" s="15">
        <f t="shared" si="12"/>
        <v>7444</v>
      </c>
      <c r="H80" s="27"/>
      <c r="I80" s="14">
        <v>1026</v>
      </c>
      <c r="J80" s="27"/>
      <c r="K80" s="27"/>
      <c r="L80" s="14">
        <v>6418</v>
      </c>
      <c r="M80" s="27"/>
      <c r="N80" s="27"/>
    </row>
    <row r="81" spans="1:14">
      <c r="A81" s="37"/>
      <c r="B81" s="37"/>
      <c r="C81" s="37"/>
      <c r="D81" s="37"/>
      <c r="E81" s="13" t="s">
        <v>144</v>
      </c>
      <c r="F81" s="13" t="s">
        <v>145</v>
      </c>
      <c r="G81" s="15">
        <f t="shared" si="12"/>
        <v>132</v>
      </c>
      <c r="H81" s="27"/>
      <c r="I81" s="14">
        <v>132</v>
      </c>
      <c r="J81" s="27"/>
      <c r="K81" s="27"/>
      <c r="L81" s="27"/>
      <c r="M81" s="27"/>
      <c r="N81" s="27"/>
    </row>
    <row r="82" spans="1:14">
      <c r="A82" s="37"/>
      <c r="B82" s="37"/>
      <c r="C82" s="37"/>
      <c r="D82" s="37"/>
      <c r="E82" s="13" t="s">
        <v>150</v>
      </c>
      <c r="F82" s="13" t="s">
        <v>151</v>
      </c>
      <c r="G82" s="15">
        <f t="shared" si="12"/>
        <v>3368</v>
      </c>
      <c r="H82" s="27"/>
      <c r="I82" s="14">
        <v>669</v>
      </c>
      <c r="J82" s="27"/>
      <c r="K82" s="27"/>
      <c r="L82" s="14">
        <v>2699</v>
      </c>
      <c r="M82" s="27"/>
      <c r="N82" s="27"/>
    </row>
    <row r="83" spans="1:14">
      <c r="A83" s="37"/>
      <c r="B83" s="37"/>
      <c r="C83" s="37"/>
      <c r="D83" s="37"/>
      <c r="E83" s="13" t="s">
        <v>152</v>
      </c>
      <c r="F83" s="13" t="s">
        <v>153</v>
      </c>
      <c r="G83" s="15">
        <f t="shared" si="12"/>
        <v>2895</v>
      </c>
      <c r="H83" s="27"/>
      <c r="I83" s="14">
        <v>1028</v>
      </c>
      <c r="J83" s="27"/>
      <c r="K83" s="27"/>
      <c r="L83" s="14">
        <v>1867</v>
      </c>
      <c r="M83" s="27"/>
      <c r="N83" s="27"/>
    </row>
    <row r="84" spans="1:14">
      <c r="A84" s="37"/>
      <c r="B84" s="37"/>
      <c r="C84" s="37"/>
      <c r="D84" s="37"/>
      <c r="E84" s="38" t="s">
        <v>11</v>
      </c>
      <c r="F84" s="38"/>
      <c r="G84" s="15">
        <f t="shared" si="12"/>
        <v>21625</v>
      </c>
      <c r="H84" s="28"/>
      <c r="I84" s="15">
        <f>SUM(I78:I83)</f>
        <v>7568</v>
      </c>
      <c r="J84" s="15"/>
      <c r="K84" s="15"/>
      <c r="L84" s="15">
        <f t="shared" ref="L84" si="14">SUM(L78:L83)</f>
        <v>14057</v>
      </c>
      <c r="M84" s="28"/>
      <c r="N84" s="28"/>
    </row>
    <row r="85" spans="1:14">
      <c r="A85" s="37"/>
      <c r="B85" s="37"/>
      <c r="C85" s="37" t="s">
        <v>181</v>
      </c>
      <c r="D85" s="37" t="s">
        <v>182</v>
      </c>
      <c r="E85" s="13" t="s">
        <v>132</v>
      </c>
      <c r="F85" s="13" t="s">
        <v>133</v>
      </c>
      <c r="G85" s="15">
        <f t="shared" si="12"/>
        <v>4645</v>
      </c>
      <c r="H85" s="27"/>
      <c r="I85" s="14">
        <v>635</v>
      </c>
      <c r="J85" s="27"/>
      <c r="K85" s="27"/>
      <c r="L85" s="14">
        <v>4010</v>
      </c>
      <c r="M85" s="27"/>
      <c r="N85" s="27"/>
    </row>
    <row r="86" spans="1:14">
      <c r="A86" s="37"/>
      <c r="B86" s="37"/>
      <c r="C86" s="37"/>
      <c r="D86" s="37"/>
      <c r="E86" s="13" t="s">
        <v>134</v>
      </c>
      <c r="F86" s="13" t="s">
        <v>135</v>
      </c>
      <c r="G86" s="15">
        <f t="shared" si="12"/>
        <v>3299</v>
      </c>
      <c r="H86" s="27"/>
      <c r="I86" s="14">
        <v>526</v>
      </c>
      <c r="J86" s="27"/>
      <c r="K86" s="27"/>
      <c r="L86" s="14">
        <v>2773</v>
      </c>
      <c r="M86" s="27"/>
      <c r="N86" s="27"/>
    </row>
    <row r="87" spans="1:14">
      <c r="A87" s="37"/>
      <c r="B87" s="37"/>
      <c r="C87" s="37"/>
      <c r="D87" s="37"/>
      <c r="E87" s="13" t="s">
        <v>136</v>
      </c>
      <c r="F87" s="13" t="s">
        <v>137</v>
      </c>
      <c r="G87" s="15">
        <f t="shared" si="12"/>
        <v>4084</v>
      </c>
      <c r="H87" s="27"/>
      <c r="I87" s="14">
        <v>1103</v>
      </c>
      <c r="J87" s="27"/>
      <c r="K87" s="27"/>
      <c r="L87" s="14">
        <v>2981</v>
      </c>
      <c r="M87" s="27"/>
      <c r="N87" s="27"/>
    </row>
    <row r="88" spans="1:14">
      <c r="A88" s="37"/>
      <c r="B88" s="37"/>
      <c r="C88" s="37"/>
      <c r="D88" s="37"/>
      <c r="E88" s="13" t="s">
        <v>138</v>
      </c>
      <c r="F88" s="13" t="s">
        <v>139</v>
      </c>
      <c r="G88" s="15">
        <f t="shared" si="12"/>
        <v>200</v>
      </c>
      <c r="H88" s="27"/>
      <c r="I88" s="14">
        <v>200</v>
      </c>
      <c r="J88" s="27"/>
      <c r="K88" s="27"/>
      <c r="L88" s="27"/>
      <c r="M88" s="27"/>
      <c r="N88" s="27"/>
    </row>
    <row r="89" spans="1:14">
      <c r="A89" s="37"/>
      <c r="B89" s="37"/>
      <c r="C89" s="37"/>
      <c r="D89" s="37"/>
      <c r="E89" s="13" t="s">
        <v>144</v>
      </c>
      <c r="F89" s="13" t="s">
        <v>145</v>
      </c>
      <c r="G89" s="15">
        <f t="shared" si="12"/>
        <v>145</v>
      </c>
      <c r="H89" s="27"/>
      <c r="I89" s="14">
        <v>145</v>
      </c>
      <c r="J89" s="27"/>
      <c r="K89" s="27"/>
      <c r="L89" s="27"/>
      <c r="M89" s="27"/>
      <c r="N89" s="27"/>
    </row>
    <row r="90" spans="1:14">
      <c r="A90" s="37"/>
      <c r="B90" s="37"/>
      <c r="C90" s="37"/>
      <c r="D90" s="37"/>
      <c r="E90" s="13" t="s">
        <v>150</v>
      </c>
      <c r="F90" s="13" t="s">
        <v>151</v>
      </c>
      <c r="G90" s="15">
        <f t="shared" si="12"/>
        <v>1584</v>
      </c>
      <c r="H90" s="27"/>
      <c r="I90" s="14">
        <v>306</v>
      </c>
      <c r="J90" s="27"/>
      <c r="K90" s="27"/>
      <c r="L90" s="14">
        <v>1278</v>
      </c>
      <c r="M90" s="27"/>
      <c r="N90" s="27"/>
    </row>
    <row r="91" spans="1:14">
      <c r="A91" s="37"/>
      <c r="B91" s="37"/>
      <c r="C91" s="37"/>
      <c r="D91" s="37"/>
      <c r="E91" s="13" t="s">
        <v>152</v>
      </c>
      <c r="F91" s="13" t="s">
        <v>153</v>
      </c>
      <c r="G91" s="15">
        <f t="shared" si="12"/>
        <v>2422</v>
      </c>
      <c r="H91" s="27"/>
      <c r="I91" s="14">
        <v>620</v>
      </c>
      <c r="J91" s="27"/>
      <c r="K91" s="27"/>
      <c r="L91" s="14">
        <v>1802</v>
      </c>
      <c r="M91" s="27"/>
      <c r="N91" s="27"/>
    </row>
    <row r="92" spans="1:14">
      <c r="A92" s="37"/>
      <c r="B92" s="37"/>
      <c r="C92" s="37"/>
      <c r="D92" s="37"/>
      <c r="E92" s="38" t="s">
        <v>11</v>
      </c>
      <c r="F92" s="38"/>
      <c r="G92" s="15">
        <f t="shared" si="12"/>
        <v>16379</v>
      </c>
      <c r="H92" s="28"/>
      <c r="I92" s="15">
        <v>3535</v>
      </c>
      <c r="J92" s="28"/>
      <c r="K92" s="28"/>
      <c r="L92" s="15">
        <v>12844</v>
      </c>
      <c r="M92" s="28"/>
      <c r="N92" s="28"/>
    </row>
    <row r="93" spans="1:14">
      <c r="A93" s="37"/>
      <c r="B93" s="37"/>
      <c r="C93" s="37" t="s">
        <v>183</v>
      </c>
      <c r="D93" s="37" t="s">
        <v>184</v>
      </c>
      <c r="E93" s="13" t="s">
        <v>132</v>
      </c>
      <c r="F93" s="13" t="s">
        <v>133</v>
      </c>
      <c r="G93" s="15">
        <f t="shared" si="12"/>
        <v>45159</v>
      </c>
      <c r="H93" s="14">
        <f>7969+9633</f>
        <v>17602</v>
      </c>
      <c r="I93" s="14">
        <v>23396</v>
      </c>
      <c r="J93" s="27"/>
      <c r="K93" s="27"/>
      <c r="L93" s="14">
        <v>4161</v>
      </c>
      <c r="M93" s="27"/>
      <c r="N93" s="27"/>
    </row>
    <row r="94" spans="1:14">
      <c r="A94" s="37"/>
      <c r="B94" s="37"/>
      <c r="C94" s="37"/>
      <c r="D94" s="37"/>
      <c r="E94" s="13" t="s">
        <v>134</v>
      </c>
      <c r="F94" s="13" t="s">
        <v>135</v>
      </c>
      <c r="G94" s="15">
        <f t="shared" si="12"/>
        <v>30091</v>
      </c>
      <c r="H94" s="14">
        <v>11398</v>
      </c>
      <c r="I94" s="14">
        <v>17943</v>
      </c>
      <c r="J94" s="27"/>
      <c r="K94" s="27"/>
      <c r="L94" s="14">
        <v>750</v>
      </c>
      <c r="M94" s="27"/>
      <c r="N94" s="27"/>
    </row>
    <row r="95" spans="1:14">
      <c r="A95" s="37"/>
      <c r="B95" s="37"/>
      <c r="C95" s="37"/>
      <c r="D95" s="37"/>
      <c r="E95" s="13" t="s">
        <v>136</v>
      </c>
      <c r="F95" s="13" t="s">
        <v>137</v>
      </c>
      <c r="G95" s="15">
        <f t="shared" si="12"/>
        <v>34807</v>
      </c>
      <c r="H95" s="27"/>
      <c r="I95" s="14">
        <v>2970</v>
      </c>
      <c r="J95" s="27"/>
      <c r="K95" s="27"/>
      <c r="L95" s="14">
        <v>31837</v>
      </c>
      <c r="M95" s="27"/>
      <c r="N95" s="27"/>
    </row>
    <row r="96" spans="1:14">
      <c r="A96" s="37"/>
      <c r="B96" s="37"/>
      <c r="C96" s="37"/>
      <c r="D96" s="37"/>
      <c r="E96" s="13" t="s">
        <v>138</v>
      </c>
      <c r="F96" s="13" t="s">
        <v>139</v>
      </c>
      <c r="G96" s="15">
        <f t="shared" si="12"/>
        <v>92092</v>
      </c>
      <c r="H96" s="27"/>
      <c r="I96" s="14">
        <v>80338</v>
      </c>
      <c r="J96" s="27"/>
      <c r="K96" s="27"/>
      <c r="L96" s="14">
        <v>11754</v>
      </c>
      <c r="M96" s="27"/>
      <c r="N96" s="27"/>
    </row>
    <row r="97" spans="1:14">
      <c r="A97" s="37"/>
      <c r="B97" s="37"/>
      <c r="C97" s="37"/>
      <c r="D97" s="37"/>
      <c r="E97" s="13" t="s">
        <v>140</v>
      </c>
      <c r="F97" s="13" t="s">
        <v>141</v>
      </c>
      <c r="G97" s="15">
        <f t="shared" si="12"/>
        <v>910</v>
      </c>
      <c r="H97" s="27"/>
      <c r="I97" s="14">
        <v>910</v>
      </c>
      <c r="J97" s="27"/>
      <c r="K97" s="27"/>
      <c r="L97" s="27"/>
      <c r="M97" s="27"/>
      <c r="N97" s="27"/>
    </row>
    <row r="98" spans="1:14">
      <c r="A98" s="37"/>
      <c r="B98" s="37"/>
      <c r="C98" s="37"/>
      <c r="D98" s="37"/>
      <c r="E98" s="13" t="s">
        <v>142</v>
      </c>
      <c r="F98" s="13" t="s">
        <v>143</v>
      </c>
      <c r="G98" s="15">
        <f t="shared" si="12"/>
        <v>24014</v>
      </c>
      <c r="H98" s="27"/>
      <c r="I98" s="14">
        <v>16222</v>
      </c>
      <c r="J98" s="27"/>
      <c r="K98" s="27"/>
      <c r="L98" s="14">
        <v>7792</v>
      </c>
      <c r="M98" s="27"/>
      <c r="N98" s="27"/>
    </row>
    <row r="99" spans="1:14">
      <c r="A99" s="37"/>
      <c r="B99" s="37"/>
      <c r="C99" s="37"/>
      <c r="D99" s="37"/>
      <c r="E99" s="13" t="s">
        <v>144</v>
      </c>
      <c r="F99" s="13" t="s">
        <v>145</v>
      </c>
      <c r="G99" s="15">
        <f t="shared" si="12"/>
        <v>17932</v>
      </c>
      <c r="H99" s="27"/>
      <c r="I99" s="14">
        <v>15656</v>
      </c>
      <c r="J99" s="27"/>
      <c r="K99" s="27"/>
      <c r="L99" s="27">
        <v>2276</v>
      </c>
      <c r="M99" s="27"/>
      <c r="N99" s="27"/>
    </row>
    <row r="100" spans="1:14">
      <c r="A100" s="37"/>
      <c r="B100" s="37"/>
      <c r="C100" s="37"/>
      <c r="D100" s="37"/>
      <c r="E100" s="13" t="s">
        <v>146</v>
      </c>
      <c r="F100" s="13" t="s">
        <v>147</v>
      </c>
      <c r="G100" s="15">
        <f t="shared" si="12"/>
        <v>14228</v>
      </c>
      <c r="H100" s="27"/>
      <c r="I100" s="14">
        <v>14228</v>
      </c>
      <c r="J100" s="27"/>
      <c r="K100" s="27"/>
      <c r="L100" s="27"/>
      <c r="M100" s="27"/>
      <c r="N100" s="27"/>
    </row>
    <row r="101" spans="1:14">
      <c r="A101" s="37"/>
      <c r="B101" s="37"/>
      <c r="C101" s="37"/>
      <c r="D101" s="37"/>
      <c r="E101" s="13" t="s">
        <v>148</v>
      </c>
      <c r="F101" s="13" t="s">
        <v>149</v>
      </c>
      <c r="G101" s="15">
        <f t="shared" si="12"/>
        <v>877</v>
      </c>
      <c r="H101" s="27"/>
      <c r="I101" s="14">
        <v>877</v>
      </c>
      <c r="J101" s="27"/>
      <c r="K101" s="27"/>
      <c r="L101" s="27"/>
      <c r="M101" s="27"/>
      <c r="N101" s="27"/>
    </row>
    <row r="102" spans="1:14">
      <c r="A102" s="37"/>
      <c r="B102" s="37"/>
      <c r="C102" s="37"/>
      <c r="D102" s="37"/>
      <c r="E102" s="13" t="s">
        <v>150</v>
      </c>
      <c r="F102" s="13" t="s">
        <v>151</v>
      </c>
      <c r="G102" s="15">
        <f t="shared" si="12"/>
        <v>51410</v>
      </c>
      <c r="H102" s="27"/>
      <c r="I102" s="14">
        <v>26920</v>
      </c>
      <c r="J102" s="27"/>
      <c r="K102" s="27"/>
      <c r="L102" s="14">
        <v>24490</v>
      </c>
      <c r="M102" s="27"/>
      <c r="N102" s="27"/>
    </row>
    <row r="103" spans="1:14">
      <c r="A103" s="37"/>
      <c r="B103" s="37"/>
      <c r="C103" s="37"/>
      <c r="D103" s="37"/>
      <c r="E103" s="13" t="s">
        <v>152</v>
      </c>
      <c r="F103" s="13" t="s">
        <v>153</v>
      </c>
      <c r="G103" s="15">
        <f t="shared" si="12"/>
        <v>1960</v>
      </c>
      <c r="H103" s="27"/>
      <c r="I103" s="14">
        <v>1960</v>
      </c>
      <c r="J103" s="27"/>
      <c r="K103" s="27"/>
      <c r="L103" s="27"/>
      <c r="M103" s="27"/>
      <c r="N103" s="27"/>
    </row>
    <row r="104" spans="1:14">
      <c r="A104" s="37"/>
      <c r="B104" s="37"/>
      <c r="C104" s="37"/>
      <c r="D104" s="37"/>
      <c r="E104" s="13" t="s">
        <v>154</v>
      </c>
      <c r="F104" s="13" t="s">
        <v>155</v>
      </c>
      <c r="G104" s="15">
        <f t="shared" si="12"/>
        <v>5588</v>
      </c>
      <c r="H104" s="27"/>
      <c r="I104" s="14">
        <v>5588</v>
      </c>
      <c r="J104" s="27"/>
      <c r="K104" s="27"/>
      <c r="L104" s="27"/>
      <c r="M104" s="27"/>
      <c r="N104" s="27"/>
    </row>
    <row r="105" spans="1:14">
      <c r="A105" s="37"/>
      <c r="B105" s="37"/>
      <c r="C105" s="37"/>
      <c r="D105" s="37"/>
      <c r="E105" s="38" t="s">
        <v>11</v>
      </c>
      <c r="F105" s="38"/>
      <c r="G105" s="15">
        <f>SUM(G93:G104)</f>
        <v>319068</v>
      </c>
      <c r="H105" s="15">
        <f t="shared" ref="H105:L105" si="15">SUM(H93:H104)</f>
        <v>29000</v>
      </c>
      <c r="I105" s="15">
        <f t="shared" si="15"/>
        <v>207008</v>
      </c>
      <c r="J105" s="15"/>
      <c r="K105" s="15"/>
      <c r="L105" s="15">
        <f t="shared" si="15"/>
        <v>83060</v>
      </c>
      <c r="M105" s="15"/>
      <c r="N105" s="15"/>
    </row>
    <row r="106" spans="1:14">
      <c r="A106" s="37"/>
      <c r="B106" s="37"/>
      <c r="C106" s="37" t="s">
        <v>185</v>
      </c>
      <c r="D106" s="37" t="s">
        <v>186</v>
      </c>
      <c r="E106" s="13" t="s">
        <v>131</v>
      </c>
      <c r="F106" s="13" t="s">
        <v>2</v>
      </c>
      <c r="G106" s="15">
        <f t="shared" si="12"/>
        <v>37000</v>
      </c>
      <c r="H106" s="27">
        <v>25591</v>
      </c>
      <c r="I106" s="14">
        <v>11409</v>
      </c>
      <c r="J106" s="27"/>
      <c r="K106" s="27"/>
      <c r="L106" s="27"/>
      <c r="M106" s="27"/>
      <c r="N106" s="27"/>
    </row>
    <row r="107" spans="1:14">
      <c r="A107" s="37"/>
      <c r="B107" s="37"/>
      <c r="C107" s="37"/>
      <c r="D107" s="37"/>
      <c r="E107" s="13" t="s">
        <v>132</v>
      </c>
      <c r="F107" s="13" t="s">
        <v>133</v>
      </c>
      <c r="G107" s="15">
        <f t="shared" si="12"/>
        <v>165878</v>
      </c>
      <c r="H107" s="14">
        <f>37646-2100-495</f>
        <v>35051</v>
      </c>
      <c r="I107" s="14">
        <v>17451</v>
      </c>
      <c r="J107" s="27"/>
      <c r="K107" s="27"/>
      <c r="L107" s="14">
        <v>113376</v>
      </c>
      <c r="M107" s="27"/>
      <c r="N107" s="27"/>
    </row>
    <row r="108" spans="1:14">
      <c r="A108" s="37"/>
      <c r="B108" s="37"/>
      <c r="C108" s="37"/>
      <c r="D108" s="37"/>
      <c r="E108" s="13" t="s">
        <v>134</v>
      </c>
      <c r="F108" s="13" t="s">
        <v>135</v>
      </c>
      <c r="G108" s="15">
        <f t="shared" si="12"/>
        <v>222396</v>
      </c>
      <c r="H108" s="14">
        <v>145745</v>
      </c>
      <c r="I108" s="14">
        <v>12460</v>
      </c>
      <c r="J108" s="27"/>
      <c r="K108" s="27"/>
      <c r="L108" s="14">
        <v>64191</v>
      </c>
      <c r="M108" s="27"/>
      <c r="N108" s="27"/>
    </row>
    <row r="109" spans="1:14">
      <c r="A109" s="37"/>
      <c r="B109" s="37"/>
      <c r="C109" s="37"/>
      <c r="D109" s="37"/>
      <c r="E109" s="13" t="s">
        <v>136</v>
      </c>
      <c r="F109" s="13" t="s">
        <v>137</v>
      </c>
      <c r="G109" s="15">
        <f t="shared" si="12"/>
        <v>58277</v>
      </c>
      <c r="H109" s="14">
        <v>50660</v>
      </c>
      <c r="I109" s="14">
        <v>6357</v>
      </c>
      <c r="J109" s="27"/>
      <c r="K109" s="27"/>
      <c r="L109" s="14">
        <v>1260</v>
      </c>
      <c r="M109" s="27"/>
      <c r="N109" s="27"/>
    </row>
    <row r="110" spans="1:14">
      <c r="A110" s="37"/>
      <c r="B110" s="37"/>
      <c r="C110" s="37"/>
      <c r="D110" s="37"/>
      <c r="E110" s="13" t="s">
        <v>138</v>
      </c>
      <c r="F110" s="13" t="s">
        <v>139</v>
      </c>
      <c r="G110" s="15">
        <f t="shared" si="12"/>
        <v>86755</v>
      </c>
      <c r="H110" s="14">
        <v>60656</v>
      </c>
      <c r="I110" s="14">
        <v>11951</v>
      </c>
      <c r="J110" s="27"/>
      <c r="K110" s="27"/>
      <c r="L110" s="14">
        <v>14148</v>
      </c>
      <c r="M110" s="27"/>
      <c r="N110" s="27"/>
    </row>
    <row r="111" spans="1:14">
      <c r="A111" s="37"/>
      <c r="B111" s="37"/>
      <c r="C111" s="37"/>
      <c r="D111" s="37"/>
      <c r="E111" s="13" t="s">
        <v>140</v>
      </c>
      <c r="F111" s="13" t="s">
        <v>141</v>
      </c>
      <c r="G111" s="15">
        <f t="shared" si="12"/>
        <v>48871</v>
      </c>
      <c r="H111" s="14">
        <v>27479</v>
      </c>
      <c r="I111" s="14">
        <v>12099</v>
      </c>
      <c r="J111" s="27"/>
      <c r="K111" s="27"/>
      <c r="L111" s="14">
        <v>9293</v>
      </c>
      <c r="M111" s="27"/>
      <c r="N111" s="27"/>
    </row>
    <row r="112" spans="1:14">
      <c r="A112" s="37"/>
      <c r="B112" s="37"/>
      <c r="C112" s="37"/>
      <c r="D112" s="37"/>
      <c r="E112" s="13" t="s">
        <v>142</v>
      </c>
      <c r="F112" s="13" t="s">
        <v>143</v>
      </c>
      <c r="G112" s="15">
        <f t="shared" si="12"/>
        <v>146968</v>
      </c>
      <c r="H112" s="14">
        <v>77794</v>
      </c>
      <c r="I112" s="14">
        <v>11482</v>
      </c>
      <c r="J112" s="27"/>
      <c r="K112" s="27"/>
      <c r="L112" s="14">
        <v>57692</v>
      </c>
      <c r="M112" s="27"/>
      <c r="N112" s="27"/>
    </row>
    <row r="113" spans="1:14">
      <c r="A113" s="37"/>
      <c r="B113" s="37"/>
      <c r="C113" s="37"/>
      <c r="D113" s="37"/>
      <c r="E113" s="13" t="s">
        <v>144</v>
      </c>
      <c r="F113" s="13" t="s">
        <v>145</v>
      </c>
      <c r="G113" s="15">
        <f t="shared" si="12"/>
        <v>316203</v>
      </c>
      <c r="H113" s="14">
        <v>57848</v>
      </c>
      <c r="I113" s="14">
        <v>14044</v>
      </c>
      <c r="J113" s="27"/>
      <c r="K113" s="27"/>
      <c r="L113" s="14">
        <v>244311</v>
      </c>
      <c r="M113" s="27"/>
      <c r="N113" s="27"/>
    </row>
    <row r="114" spans="1:14">
      <c r="A114" s="37"/>
      <c r="B114" s="37"/>
      <c r="C114" s="37"/>
      <c r="D114" s="37"/>
      <c r="E114" s="13" t="s">
        <v>146</v>
      </c>
      <c r="F114" s="13" t="s">
        <v>147</v>
      </c>
      <c r="G114" s="15">
        <f t="shared" si="12"/>
        <v>48107</v>
      </c>
      <c r="H114" s="14">
        <v>31579</v>
      </c>
      <c r="I114" s="14">
        <f>10080+130</f>
        <v>10210</v>
      </c>
      <c r="J114" s="27"/>
      <c r="K114" s="27"/>
      <c r="L114" s="14">
        <v>6318</v>
      </c>
      <c r="M114" s="27"/>
      <c r="N114" s="27"/>
    </row>
    <row r="115" spans="1:14">
      <c r="A115" s="37"/>
      <c r="B115" s="37"/>
      <c r="C115" s="37"/>
      <c r="D115" s="37"/>
      <c r="E115" s="13" t="s">
        <v>148</v>
      </c>
      <c r="F115" s="13" t="s">
        <v>149</v>
      </c>
      <c r="G115" s="15">
        <f t="shared" si="12"/>
        <v>70977</v>
      </c>
      <c r="H115" s="14">
        <v>40978</v>
      </c>
      <c r="I115" s="14">
        <v>13528</v>
      </c>
      <c r="J115" s="27"/>
      <c r="K115" s="27"/>
      <c r="L115" s="14">
        <v>16471</v>
      </c>
      <c r="M115" s="27"/>
      <c r="N115" s="27"/>
    </row>
    <row r="116" spans="1:14">
      <c r="A116" s="37"/>
      <c r="B116" s="37"/>
      <c r="C116" s="37"/>
      <c r="D116" s="37"/>
      <c r="E116" s="13" t="s">
        <v>150</v>
      </c>
      <c r="F116" s="13" t="s">
        <v>151</v>
      </c>
      <c r="G116" s="15">
        <f t="shared" si="12"/>
        <v>125018</v>
      </c>
      <c r="H116" s="14">
        <v>86815</v>
      </c>
      <c r="I116" s="14">
        <v>23261</v>
      </c>
      <c r="J116" s="27"/>
      <c r="K116" s="27"/>
      <c r="L116" s="14">
        <v>14942</v>
      </c>
      <c r="M116" s="27"/>
      <c r="N116" s="27"/>
    </row>
    <row r="117" spans="1:14">
      <c r="A117" s="37"/>
      <c r="B117" s="37"/>
      <c r="C117" s="37"/>
      <c r="D117" s="37"/>
      <c r="E117" s="13" t="s">
        <v>152</v>
      </c>
      <c r="F117" s="13" t="s">
        <v>153</v>
      </c>
      <c r="G117" s="15">
        <f t="shared" si="12"/>
        <v>48112</v>
      </c>
      <c r="H117" s="14">
        <v>35880</v>
      </c>
      <c r="I117" s="14">
        <v>8787</v>
      </c>
      <c r="J117" s="27"/>
      <c r="K117" s="27"/>
      <c r="L117" s="14">
        <v>3445</v>
      </c>
      <c r="M117" s="27"/>
      <c r="N117" s="27"/>
    </row>
    <row r="118" spans="1:14">
      <c r="A118" s="37"/>
      <c r="B118" s="37"/>
      <c r="C118" s="37"/>
      <c r="D118" s="37"/>
      <c r="E118" s="13" t="s">
        <v>154</v>
      </c>
      <c r="F118" s="13" t="s">
        <v>155</v>
      </c>
      <c r="G118" s="15">
        <f t="shared" si="12"/>
        <v>95734</v>
      </c>
      <c r="H118" s="14">
        <v>29163</v>
      </c>
      <c r="I118" s="14">
        <v>9812</v>
      </c>
      <c r="J118" s="27"/>
      <c r="K118" s="27"/>
      <c r="L118" s="14">
        <v>56759</v>
      </c>
      <c r="M118" s="27"/>
      <c r="N118" s="27"/>
    </row>
    <row r="119" spans="1:14">
      <c r="A119" s="37"/>
      <c r="B119" s="37"/>
      <c r="C119" s="37"/>
      <c r="D119" s="37"/>
      <c r="E119" s="38" t="s">
        <v>11</v>
      </c>
      <c r="F119" s="38"/>
      <c r="G119" s="15">
        <f>SUM(G106:G118)</f>
        <v>1470296</v>
      </c>
      <c r="H119" s="15">
        <f t="shared" ref="H119:L119" si="16">SUM(H106:H118)</f>
        <v>705239</v>
      </c>
      <c r="I119" s="15">
        <f t="shared" si="16"/>
        <v>162851</v>
      </c>
      <c r="J119" s="15"/>
      <c r="K119" s="15"/>
      <c r="L119" s="15">
        <f t="shared" si="16"/>
        <v>602206</v>
      </c>
      <c r="M119" s="28"/>
      <c r="N119" s="28"/>
    </row>
    <row r="120" spans="1:14">
      <c r="A120" s="37"/>
      <c r="B120" s="37"/>
      <c r="C120" s="29" t="s">
        <v>11</v>
      </c>
      <c r="D120" s="62" t="s">
        <v>187</v>
      </c>
      <c r="E120" s="63"/>
      <c r="F120" s="64"/>
      <c r="G120" s="18">
        <f>G119+G105+G92+G84+G77+G73</f>
        <v>2687564</v>
      </c>
      <c r="H120" s="18">
        <f t="shared" ref="H120:L120" si="17">H119+H105+H92+H84+H77+H73</f>
        <v>763573</v>
      </c>
      <c r="I120" s="18">
        <f t="shared" si="17"/>
        <v>848891</v>
      </c>
      <c r="J120" s="18">
        <f t="shared" si="17"/>
        <v>340700</v>
      </c>
      <c r="K120" s="18"/>
      <c r="L120" s="18">
        <f t="shared" si="17"/>
        <v>734400</v>
      </c>
      <c r="M120" s="18"/>
      <c r="N120" s="18"/>
    </row>
    <row r="121" spans="1:14">
      <c r="A121" s="37"/>
      <c r="B121" s="53" t="s">
        <v>339</v>
      </c>
      <c r="C121" s="54" t="s">
        <v>341</v>
      </c>
      <c r="D121" s="46" t="s">
        <v>344</v>
      </c>
      <c r="E121" s="13">
        <v>14</v>
      </c>
      <c r="F121" s="13" t="s">
        <v>342</v>
      </c>
      <c r="G121" s="15">
        <f>SUM(H121:N121)</f>
        <v>3000</v>
      </c>
      <c r="H121" s="14">
        <v>1730</v>
      </c>
      <c r="I121" s="14">
        <v>1270</v>
      </c>
      <c r="J121" s="27"/>
      <c r="K121" s="27"/>
      <c r="L121" s="14"/>
      <c r="M121" s="27"/>
      <c r="N121" s="27"/>
    </row>
    <row r="122" spans="1:14">
      <c r="A122" s="37"/>
      <c r="B122" s="51"/>
      <c r="C122" s="55"/>
      <c r="D122" s="48"/>
      <c r="E122" s="38" t="s">
        <v>11</v>
      </c>
      <c r="F122" s="38"/>
      <c r="G122" s="15">
        <f>G121</f>
        <v>3000</v>
      </c>
      <c r="H122" s="15">
        <f t="shared" ref="H122:I123" si="18">H121</f>
        <v>1730</v>
      </c>
      <c r="I122" s="15">
        <f t="shared" si="18"/>
        <v>1270</v>
      </c>
      <c r="J122" s="15"/>
      <c r="K122" s="15"/>
      <c r="L122" s="15"/>
      <c r="M122" s="28"/>
      <c r="N122" s="28"/>
    </row>
    <row r="123" spans="1:14">
      <c r="A123" s="37"/>
      <c r="B123" s="52"/>
      <c r="C123" s="29" t="s">
        <v>11</v>
      </c>
      <c r="D123" s="62" t="s">
        <v>343</v>
      </c>
      <c r="E123" s="63"/>
      <c r="F123" s="64"/>
      <c r="G123" s="18">
        <f>G122</f>
        <v>3000</v>
      </c>
      <c r="H123" s="18">
        <f t="shared" si="18"/>
        <v>1730</v>
      </c>
      <c r="I123" s="18">
        <f t="shared" si="18"/>
        <v>1270</v>
      </c>
      <c r="J123" s="18"/>
      <c r="K123" s="18"/>
      <c r="L123" s="18"/>
      <c r="M123" s="18"/>
      <c r="N123" s="18"/>
    </row>
    <row r="124" spans="1:14">
      <c r="A124" s="37"/>
      <c r="B124" s="37" t="s">
        <v>61</v>
      </c>
      <c r="C124" s="37" t="s">
        <v>188</v>
      </c>
      <c r="D124" s="37" t="s">
        <v>189</v>
      </c>
      <c r="E124" s="13" t="s">
        <v>132</v>
      </c>
      <c r="F124" s="13" t="s">
        <v>190</v>
      </c>
      <c r="G124" s="15">
        <f t="shared" si="12"/>
        <v>28613</v>
      </c>
      <c r="H124" s="14">
        <v>20633</v>
      </c>
      <c r="I124" s="14">
        <v>7980</v>
      </c>
      <c r="J124" s="27"/>
      <c r="K124" s="27"/>
      <c r="L124" s="27"/>
      <c r="M124" s="27"/>
      <c r="N124" s="27"/>
    </row>
    <row r="125" spans="1:14">
      <c r="A125" s="37"/>
      <c r="B125" s="37"/>
      <c r="C125" s="37"/>
      <c r="D125" s="37"/>
      <c r="E125" s="13" t="s">
        <v>134</v>
      </c>
      <c r="F125" s="13" t="s">
        <v>191</v>
      </c>
      <c r="G125" s="15">
        <f t="shared" si="12"/>
        <v>31990</v>
      </c>
      <c r="H125" s="14">
        <v>20327</v>
      </c>
      <c r="I125" s="14">
        <v>11663</v>
      </c>
      <c r="J125" s="27"/>
      <c r="K125" s="27"/>
      <c r="L125" s="14"/>
      <c r="M125" s="27"/>
      <c r="N125" s="27"/>
    </row>
    <row r="126" spans="1:14">
      <c r="A126" s="37"/>
      <c r="B126" s="37"/>
      <c r="C126" s="37"/>
      <c r="D126" s="37"/>
      <c r="E126" s="13" t="s">
        <v>136</v>
      </c>
      <c r="F126" s="13" t="s">
        <v>192</v>
      </c>
      <c r="G126" s="15">
        <f t="shared" si="12"/>
        <v>53263</v>
      </c>
      <c r="H126" s="14">
        <v>9962</v>
      </c>
      <c r="I126" s="14">
        <v>32301</v>
      </c>
      <c r="J126" s="27"/>
      <c r="K126" s="27"/>
      <c r="L126" s="27">
        <v>11000</v>
      </c>
      <c r="M126" s="27"/>
      <c r="N126" s="27"/>
    </row>
    <row r="127" spans="1:14">
      <c r="A127" s="37"/>
      <c r="B127" s="37"/>
      <c r="C127" s="37"/>
      <c r="D127" s="37"/>
      <c r="E127" s="13" t="s">
        <v>193</v>
      </c>
      <c r="F127" s="13" t="s">
        <v>194</v>
      </c>
      <c r="G127" s="15">
        <f t="shared" si="12"/>
        <v>5388</v>
      </c>
      <c r="H127" s="14">
        <v>2482</v>
      </c>
      <c r="I127" s="14">
        <v>2906</v>
      </c>
      <c r="J127" s="27"/>
      <c r="K127" s="27"/>
      <c r="L127" s="27"/>
      <c r="M127" s="27"/>
      <c r="N127" s="27"/>
    </row>
    <row r="128" spans="1:14">
      <c r="A128" s="37"/>
      <c r="B128" s="37"/>
      <c r="C128" s="37"/>
      <c r="D128" s="37"/>
      <c r="E128" s="13" t="s">
        <v>150</v>
      </c>
      <c r="F128" s="13" t="s">
        <v>195</v>
      </c>
      <c r="G128" s="15">
        <f t="shared" si="12"/>
        <v>23813</v>
      </c>
      <c r="H128" s="14">
        <v>11546</v>
      </c>
      <c r="I128" s="14">
        <v>12267</v>
      </c>
      <c r="J128" s="27"/>
      <c r="K128" s="27"/>
      <c r="L128" s="27"/>
      <c r="M128" s="27"/>
      <c r="N128" s="27"/>
    </row>
    <row r="129" spans="1:14">
      <c r="A129" s="37"/>
      <c r="B129" s="37"/>
      <c r="C129" s="37"/>
      <c r="D129" s="37"/>
      <c r="E129" s="13" t="s">
        <v>196</v>
      </c>
      <c r="F129" s="13" t="s">
        <v>197</v>
      </c>
      <c r="G129" s="15">
        <f t="shared" si="12"/>
        <v>11983</v>
      </c>
      <c r="H129" s="14">
        <v>10052</v>
      </c>
      <c r="I129" s="14">
        <v>1931</v>
      </c>
      <c r="J129" s="27"/>
      <c r="K129" s="27"/>
      <c r="L129" s="27"/>
      <c r="M129" s="27"/>
      <c r="N129" s="27"/>
    </row>
    <row r="130" spans="1:14">
      <c r="A130" s="37"/>
      <c r="B130" s="37"/>
      <c r="C130" s="37"/>
      <c r="D130" s="37"/>
      <c r="E130" s="13" t="s">
        <v>198</v>
      </c>
      <c r="F130" s="13" t="s">
        <v>199</v>
      </c>
      <c r="G130" s="15">
        <f t="shared" si="12"/>
        <v>27107</v>
      </c>
      <c r="H130" s="14">
        <v>19653</v>
      </c>
      <c r="I130" s="14">
        <v>7454</v>
      </c>
      <c r="J130" s="27"/>
      <c r="K130" s="27"/>
      <c r="L130" s="27"/>
      <c r="M130" s="27"/>
      <c r="N130" s="27"/>
    </row>
    <row r="131" spans="1:14">
      <c r="A131" s="37"/>
      <c r="B131" s="37"/>
      <c r="C131" s="37"/>
      <c r="D131" s="37"/>
      <c r="E131" s="13" t="s">
        <v>152</v>
      </c>
      <c r="F131" s="13" t="s">
        <v>200</v>
      </c>
      <c r="G131" s="15">
        <f t="shared" si="12"/>
        <v>27002</v>
      </c>
      <c r="H131" s="14">
        <v>8022</v>
      </c>
      <c r="I131" s="14">
        <v>18830</v>
      </c>
      <c r="J131" s="27"/>
      <c r="K131" s="27"/>
      <c r="L131" s="14">
        <v>150</v>
      </c>
      <c r="M131" s="27"/>
      <c r="N131" s="27"/>
    </row>
    <row r="132" spans="1:14">
      <c r="A132" s="37"/>
      <c r="B132" s="37"/>
      <c r="C132" s="37"/>
      <c r="D132" s="37"/>
      <c r="E132" s="13" t="s">
        <v>201</v>
      </c>
      <c r="F132" s="13" t="s">
        <v>202</v>
      </c>
      <c r="G132" s="15">
        <f t="shared" si="12"/>
        <v>8553</v>
      </c>
      <c r="H132" s="14">
        <v>6573</v>
      </c>
      <c r="I132" s="14">
        <v>1980</v>
      </c>
      <c r="J132" s="27"/>
      <c r="K132" s="27"/>
      <c r="L132" s="27"/>
      <c r="M132" s="27"/>
      <c r="N132" s="27"/>
    </row>
    <row r="133" spans="1:14">
      <c r="A133" s="37"/>
      <c r="B133" s="37"/>
      <c r="C133" s="37"/>
      <c r="D133" s="37"/>
      <c r="E133" s="38" t="s">
        <v>11</v>
      </c>
      <c r="F133" s="38"/>
      <c r="G133" s="15">
        <f>SUM(G124:G132)</f>
        <v>217712</v>
      </c>
      <c r="H133" s="15">
        <f t="shared" ref="H133:L133" si="19">SUM(H124:H132)</f>
        <v>109250</v>
      </c>
      <c r="I133" s="15">
        <f t="shared" si="19"/>
        <v>97312</v>
      </c>
      <c r="J133" s="15"/>
      <c r="K133" s="15"/>
      <c r="L133" s="15">
        <f t="shared" si="19"/>
        <v>11150</v>
      </c>
      <c r="M133" s="15"/>
      <c r="N133" s="15"/>
    </row>
    <row r="134" spans="1:14">
      <c r="A134" s="37"/>
      <c r="B134" s="37"/>
      <c r="C134" s="37" t="s">
        <v>203</v>
      </c>
      <c r="D134" s="37" t="s">
        <v>204</v>
      </c>
      <c r="E134" s="13" t="s">
        <v>205</v>
      </c>
      <c r="F134" s="13" t="s">
        <v>206</v>
      </c>
      <c r="G134" s="15">
        <f t="shared" si="12"/>
        <v>28273</v>
      </c>
      <c r="H134" s="14">
        <v>17063</v>
      </c>
      <c r="I134" s="14">
        <v>9627</v>
      </c>
      <c r="J134" s="27"/>
      <c r="K134" s="27"/>
      <c r="L134" s="14">
        <v>1583</v>
      </c>
      <c r="M134" s="27"/>
      <c r="N134" s="27"/>
    </row>
    <row r="135" spans="1:14">
      <c r="A135" s="37"/>
      <c r="B135" s="37"/>
      <c r="C135" s="37"/>
      <c r="D135" s="37"/>
      <c r="E135" s="13" t="s">
        <v>207</v>
      </c>
      <c r="F135" s="13" t="s">
        <v>208</v>
      </c>
      <c r="G135" s="15">
        <f t="shared" si="12"/>
        <v>32518</v>
      </c>
      <c r="H135" s="14">
        <v>21537</v>
      </c>
      <c r="I135" s="14">
        <v>8502</v>
      </c>
      <c r="J135" s="27"/>
      <c r="K135" s="27"/>
      <c r="L135" s="14">
        <v>2479</v>
      </c>
      <c r="M135" s="27"/>
      <c r="N135" s="27"/>
    </row>
    <row r="136" spans="1:14">
      <c r="A136" s="37"/>
      <c r="B136" s="37"/>
      <c r="C136" s="37"/>
      <c r="D136" s="37"/>
      <c r="E136" s="13" t="s">
        <v>209</v>
      </c>
      <c r="F136" s="13" t="s">
        <v>210</v>
      </c>
      <c r="G136" s="15">
        <f t="shared" si="12"/>
        <v>31752</v>
      </c>
      <c r="H136" s="14">
        <v>15261</v>
      </c>
      <c r="I136" s="14">
        <v>14908</v>
      </c>
      <c r="J136" s="27"/>
      <c r="K136" s="27"/>
      <c r="L136" s="14">
        <v>1583</v>
      </c>
      <c r="M136" s="27"/>
      <c r="N136" s="27"/>
    </row>
    <row r="137" spans="1:14">
      <c r="A137" s="37"/>
      <c r="B137" s="37"/>
      <c r="C137" s="37"/>
      <c r="D137" s="37"/>
      <c r="E137" s="13" t="s">
        <v>211</v>
      </c>
      <c r="F137" s="13" t="s">
        <v>212</v>
      </c>
      <c r="G137" s="15">
        <f t="shared" si="12"/>
        <v>34181</v>
      </c>
      <c r="H137" s="14">
        <v>16181</v>
      </c>
      <c r="I137" s="14">
        <v>15215</v>
      </c>
      <c r="J137" s="27"/>
      <c r="K137" s="27"/>
      <c r="L137" s="14">
        <v>2785</v>
      </c>
      <c r="M137" s="27"/>
      <c r="N137" s="27"/>
    </row>
    <row r="138" spans="1:14">
      <c r="A138" s="37"/>
      <c r="B138" s="37"/>
      <c r="C138" s="37"/>
      <c r="D138" s="37"/>
      <c r="E138" s="13" t="s">
        <v>213</v>
      </c>
      <c r="F138" s="13" t="s">
        <v>214</v>
      </c>
      <c r="G138" s="15">
        <f t="shared" si="12"/>
        <v>27293</v>
      </c>
      <c r="H138" s="14">
        <v>13622</v>
      </c>
      <c r="I138" s="14">
        <v>12425</v>
      </c>
      <c r="J138" s="27"/>
      <c r="K138" s="27"/>
      <c r="L138" s="14">
        <v>1246</v>
      </c>
      <c r="M138" s="27"/>
      <c r="N138" s="27"/>
    </row>
    <row r="139" spans="1:14">
      <c r="A139" s="37"/>
      <c r="B139" s="37"/>
      <c r="C139" s="37"/>
      <c r="D139" s="37"/>
      <c r="E139" s="13" t="s">
        <v>215</v>
      </c>
      <c r="F139" s="13" t="s">
        <v>216</v>
      </c>
      <c r="G139" s="15">
        <f t="shared" si="12"/>
        <v>20939</v>
      </c>
      <c r="H139" s="14">
        <v>14164</v>
      </c>
      <c r="I139" s="14">
        <v>4788</v>
      </c>
      <c r="J139" s="27"/>
      <c r="K139" s="27"/>
      <c r="L139" s="14">
        <v>1987</v>
      </c>
      <c r="M139" s="27"/>
      <c r="N139" s="27"/>
    </row>
    <row r="140" spans="1:14">
      <c r="A140" s="37"/>
      <c r="B140" s="37"/>
      <c r="C140" s="37"/>
      <c r="D140" s="37"/>
      <c r="E140" s="13" t="s">
        <v>217</v>
      </c>
      <c r="F140" s="13" t="s">
        <v>218</v>
      </c>
      <c r="G140" s="15">
        <f t="shared" si="12"/>
        <v>69422</v>
      </c>
      <c r="H140" s="14">
        <v>49099</v>
      </c>
      <c r="I140" s="14">
        <v>17720</v>
      </c>
      <c r="J140" s="27"/>
      <c r="K140" s="27"/>
      <c r="L140" s="14">
        <v>2603</v>
      </c>
      <c r="M140" s="27"/>
      <c r="N140" s="27"/>
    </row>
    <row r="141" spans="1:14">
      <c r="A141" s="37"/>
      <c r="B141" s="37"/>
      <c r="C141" s="37"/>
      <c r="D141" s="37"/>
      <c r="E141" s="13" t="s">
        <v>219</v>
      </c>
      <c r="F141" s="13" t="s">
        <v>220</v>
      </c>
      <c r="G141" s="15">
        <f t="shared" si="12"/>
        <v>20696</v>
      </c>
      <c r="H141" s="14">
        <v>13422</v>
      </c>
      <c r="I141" s="14">
        <v>6027</v>
      </c>
      <c r="J141" s="27"/>
      <c r="K141" s="27"/>
      <c r="L141" s="14">
        <v>1247</v>
      </c>
      <c r="M141" s="27"/>
      <c r="N141" s="27"/>
    </row>
    <row r="142" spans="1:14">
      <c r="A142" s="37"/>
      <c r="B142" s="37"/>
      <c r="C142" s="37"/>
      <c r="D142" s="37"/>
      <c r="E142" s="13" t="s">
        <v>221</v>
      </c>
      <c r="F142" s="13" t="s">
        <v>222</v>
      </c>
      <c r="G142" s="15">
        <f t="shared" si="12"/>
        <v>24883</v>
      </c>
      <c r="H142" s="14">
        <v>15261</v>
      </c>
      <c r="I142" s="14">
        <v>8375</v>
      </c>
      <c r="J142" s="27"/>
      <c r="K142" s="27"/>
      <c r="L142" s="14">
        <v>1247</v>
      </c>
      <c r="M142" s="27"/>
      <c r="N142" s="27"/>
    </row>
    <row r="143" spans="1:14">
      <c r="A143" s="37"/>
      <c r="B143" s="37"/>
      <c r="C143" s="37"/>
      <c r="D143" s="37"/>
      <c r="E143" s="13" t="s">
        <v>223</v>
      </c>
      <c r="F143" s="13" t="s">
        <v>224</v>
      </c>
      <c r="G143" s="15">
        <f t="shared" ref="G143:G208" si="20">SUM(H143:N143)</f>
        <v>21614</v>
      </c>
      <c r="H143" s="14">
        <v>13422</v>
      </c>
      <c r="I143" s="14">
        <v>6945</v>
      </c>
      <c r="J143" s="27"/>
      <c r="K143" s="27"/>
      <c r="L143" s="14">
        <v>1247</v>
      </c>
      <c r="M143" s="27"/>
      <c r="N143" s="27"/>
    </row>
    <row r="144" spans="1:14">
      <c r="A144" s="37"/>
      <c r="B144" s="37"/>
      <c r="C144" s="37"/>
      <c r="D144" s="37"/>
      <c r="E144" s="13" t="s">
        <v>225</v>
      </c>
      <c r="F144" s="13" t="s">
        <v>226</v>
      </c>
      <c r="G144" s="15">
        <f t="shared" si="20"/>
        <v>20700</v>
      </c>
      <c r="H144" s="14">
        <v>16641</v>
      </c>
      <c r="I144" s="14">
        <v>2812</v>
      </c>
      <c r="J144" s="27"/>
      <c r="K144" s="27"/>
      <c r="L144" s="14">
        <v>1247</v>
      </c>
      <c r="M144" s="27"/>
      <c r="N144" s="27"/>
    </row>
    <row r="145" spans="1:14">
      <c r="A145" s="37"/>
      <c r="B145" s="37"/>
      <c r="C145" s="37"/>
      <c r="D145" s="37"/>
      <c r="E145" s="13" t="s">
        <v>227</v>
      </c>
      <c r="F145" s="13" t="s">
        <v>228</v>
      </c>
      <c r="G145" s="15">
        <f t="shared" si="20"/>
        <v>25433</v>
      </c>
      <c r="H145" s="14">
        <v>18020</v>
      </c>
      <c r="I145" s="14">
        <v>6166</v>
      </c>
      <c r="J145" s="27"/>
      <c r="K145" s="27"/>
      <c r="L145" s="14">
        <v>1247</v>
      </c>
      <c r="M145" s="27"/>
      <c r="N145" s="27"/>
    </row>
    <row r="146" spans="1:14">
      <c r="A146" s="37"/>
      <c r="B146" s="37"/>
      <c r="C146" s="37"/>
      <c r="D146" s="37"/>
      <c r="E146" s="13" t="s">
        <v>229</v>
      </c>
      <c r="F146" s="13" t="s">
        <v>230</v>
      </c>
      <c r="G146" s="15">
        <f t="shared" si="20"/>
        <v>21139</v>
      </c>
      <c r="H146" s="14">
        <v>15261</v>
      </c>
      <c r="I146" s="14">
        <v>4631</v>
      </c>
      <c r="J146" s="27"/>
      <c r="K146" s="27"/>
      <c r="L146" s="14">
        <v>1247</v>
      </c>
      <c r="M146" s="27"/>
      <c r="N146" s="27"/>
    </row>
    <row r="147" spans="1:14">
      <c r="A147" s="37"/>
      <c r="B147" s="37"/>
      <c r="C147" s="37"/>
      <c r="D147" s="37"/>
      <c r="E147" s="38" t="s">
        <v>11</v>
      </c>
      <c r="F147" s="38"/>
      <c r="G147" s="15">
        <f>SUM(G134:G146)</f>
        <v>378843</v>
      </c>
      <c r="H147" s="15">
        <f t="shared" ref="H147:L147" si="21">SUM(H134:H146)</f>
        <v>238954</v>
      </c>
      <c r="I147" s="15">
        <f t="shared" si="21"/>
        <v>118141</v>
      </c>
      <c r="J147" s="15"/>
      <c r="K147" s="15"/>
      <c r="L147" s="15">
        <f t="shared" si="21"/>
        <v>21748</v>
      </c>
      <c r="M147" s="15"/>
      <c r="N147" s="15"/>
    </row>
    <row r="148" spans="1:14">
      <c r="A148" s="37"/>
      <c r="B148" s="37"/>
      <c r="C148" s="37" t="s">
        <v>231</v>
      </c>
      <c r="D148" s="37" t="s">
        <v>232</v>
      </c>
      <c r="E148" s="13" t="s">
        <v>233</v>
      </c>
      <c r="F148" s="13" t="s">
        <v>234</v>
      </c>
      <c r="G148" s="15">
        <f t="shared" si="20"/>
        <v>15634</v>
      </c>
      <c r="H148" s="14">
        <v>7631</v>
      </c>
      <c r="I148" s="14">
        <v>8003</v>
      </c>
      <c r="J148" s="27"/>
      <c r="K148" s="27"/>
      <c r="L148" s="27"/>
      <c r="M148" s="27"/>
      <c r="N148" s="27"/>
    </row>
    <row r="149" spans="1:14" ht="22.5">
      <c r="A149" s="37"/>
      <c r="B149" s="37"/>
      <c r="C149" s="37"/>
      <c r="D149" s="37"/>
      <c r="E149" s="13" t="s">
        <v>140</v>
      </c>
      <c r="F149" s="13" t="s">
        <v>235</v>
      </c>
      <c r="G149" s="15">
        <f t="shared" si="20"/>
        <v>9268</v>
      </c>
      <c r="H149" s="14">
        <v>8819</v>
      </c>
      <c r="I149" s="14">
        <v>449</v>
      </c>
      <c r="J149" s="27"/>
      <c r="K149" s="27"/>
      <c r="L149" s="27"/>
      <c r="M149" s="27"/>
      <c r="N149" s="27"/>
    </row>
    <row r="150" spans="1:14">
      <c r="A150" s="37"/>
      <c r="B150" s="37"/>
      <c r="C150" s="37"/>
      <c r="D150" s="37"/>
      <c r="E150" s="13" t="s">
        <v>236</v>
      </c>
      <c r="F150" s="13" t="s">
        <v>237</v>
      </c>
      <c r="G150" s="15">
        <f t="shared" si="20"/>
        <v>16409</v>
      </c>
      <c r="H150" s="14">
        <v>9707</v>
      </c>
      <c r="I150" s="14">
        <v>6702</v>
      </c>
      <c r="J150" s="27"/>
      <c r="K150" s="27"/>
      <c r="L150" s="27"/>
      <c r="M150" s="27"/>
      <c r="N150" s="27"/>
    </row>
    <row r="151" spans="1:14">
      <c r="A151" s="37"/>
      <c r="B151" s="37"/>
      <c r="C151" s="37"/>
      <c r="D151" s="37"/>
      <c r="E151" s="38" t="s">
        <v>11</v>
      </c>
      <c r="F151" s="38"/>
      <c r="G151" s="15">
        <f>SUM(G148:G150)</f>
        <v>41311</v>
      </c>
      <c r="H151" s="15">
        <f t="shared" ref="H151:I151" si="22">SUM(H148:H150)</f>
        <v>26157</v>
      </c>
      <c r="I151" s="15">
        <f t="shared" si="22"/>
        <v>15154</v>
      </c>
      <c r="J151" s="15"/>
      <c r="K151" s="15"/>
      <c r="L151" s="15"/>
      <c r="M151" s="15"/>
      <c r="N151" s="15"/>
    </row>
    <row r="152" spans="1:14">
      <c r="A152" s="37"/>
      <c r="B152" s="37"/>
      <c r="C152" s="37" t="s">
        <v>238</v>
      </c>
      <c r="D152" s="37" t="s">
        <v>239</v>
      </c>
      <c r="E152" s="13" t="s">
        <v>131</v>
      </c>
      <c r="F152" s="13" t="s">
        <v>240</v>
      </c>
      <c r="G152" s="15">
        <f t="shared" si="20"/>
        <v>287043</v>
      </c>
      <c r="H152" s="14">
        <f>141971+2000+5000</f>
        <v>148971</v>
      </c>
      <c r="I152" s="14">
        <f>91248+10851</f>
        <v>102099</v>
      </c>
      <c r="J152" s="14">
        <f>14000+120</f>
        <v>14120</v>
      </c>
      <c r="K152" s="27"/>
      <c r="L152" s="27"/>
      <c r="M152" s="14">
        <v>4000</v>
      </c>
      <c r="N152" s="14">
        <f>17043+810</f>
        <v>17853</v>
      </c>
    </row>
    <row r="153" spans="1:14">
      <c r="A153" s="37"/>
      <c r="B153" s="37"/>
      <c r="C153" s="37"/>
      <c r="D153" s="37"/>
      <c r="E153" s="13" t="s">
        <v>241</v>
      </c>
      <c r="F153" s="13" t="s">
        <v>242</v>
      </c>
      <c r="G153" s="15">
        <f t="shared" si="20"/>
        <v>49051</v>
      </c>
      <c r="H153" s="14">
        <v>20177</v>
      </c>
      <c r="I153" s="14">
        <f>28624+250</f>
        <v>28874</v>
      </c>
      <c r="J153" s="27"/>
      <c r="K153" s="27"/>
      <c r="L153" s="27"/>
      <c r="M153" s="27"/>
      <c r="N153" s="27"/>
    </row>
    <row r="154" spans="1:14">
      <c r="A154" s="37"/>
      <c r="B154" s="37"/>
      <c r="C154" s="37"/>
      <c r="D154" s="37"/>
      <c r="E154" s="13" t="s">
        <v>243</v>
      </c>
      <c r="F154" s="13" t="s">
        <v>244</v>
      </c>
      <c r="G154" s="15">
        <f t="shared" si="20"/>
        <v>59561</v>
      </c>
      <c r="H154" s="14">
        <v>22882</v>
      </c>
      <c r="I154" s="14">
        <f>34534+730+1415</f>
        <v>36679</v>
      </c>
      <c r="J154" s="27"/>
      <c r="K154" s="27"/>
      <c r="L154" s="27"/>
      <c r="M154" s="27"/>
      <c r="N154" s="27"/>
    </row>
    <row r="155" spans="1:14">
      <c r="A155" s="37"/>
      <c r="B155" s="37"/>
      <c r="C155" s="37"/>
      <c r="D155" s="37"/>
      <c r="E155" s="13" t="s">
        <v>245</v>
      </c>
      <c r="F155" s="13" t="s">
        <v>246</v>
      </c>
      <c r="G155" s="15">
        <f t="shared" si="20"/>
        <v>61600</v>
      </c>
      <c r="H155" s="14">
        <v>26225</v>
      </c>
      <c r="I155" s="14">
        <v>34875</v>
      </c>
      <c r="J155" s="27"/>
      <c r="K155" s="27"/>
      <c r="L155" s="27">
        <v>500</v>
      </c>
      <c r="M155" s="27"/>
      <c r="N155" s="27"/>
    </row>
    <row r="156" spans="1:14">
      <c r="A156" s="37"/>
      <c r="B156" s="37"/>
      <c r="C156" s="37"/>
      <c r="D156" s="37"/>
      <c r="E156" s="13" t="s">
        <v>247</v>
      </c>
      <c r="F156" s="13" t="s">
        <v>248</v>
      </c>
      <c r="G156" s="15">
        <f t="shared" si="20"/>
        <v>79420</v>
      </c>
      <c r="H156" s="14">
        <v>23049</v>
      </c>
      <c r="I156" s="14">
        <v>56371</v>
      </c>
      <c r="J156" s="27"/>
      <c r="K156" s="27"/>
      <c r="L156" s="27"/>
      <c r="M156" s="27"/>
      <c r="N156" s="27"/>
    </row>
    <row r="157" spans="1:14">
      <c r="A157" s="37"/>
      <c r="B157" s="37"/>
      <c r="C157" s="37"/>
      <c r="D157" s="37"/>
      <c r="E157" s="13" t="s">
        <v>249</v>
      </c>
      <c r="F157" s="13" t="s">
        <v>250</v>
      </c>
      <c r="G157" s="15">
        <f t="shared" si="20"/>
        <v>44842</v>
      </c>
      <c r="H157" s="14">
        <v>19566</v>
      </c>
      <c r="I157" s="14">
        <v>24723</v>
      </c>
      <c r="J157" s="27">
        <v>553</v>
      </c>
      <c r="K157" s="27"/>
      <c r="L157" s="27"/>
      <c r="M157" s="27"/>
      <c r="N157" s="27"/>
    </row>
    <row r="158" spans="1:14">
      <c r="A158" s="37"/>
      <c r="B158" s="37"/>
      <c r="C158" s="37"/>
      <c r="D158" s="37"/>
      <c r="E158" s="13" t="s">
        <v>251</v>
      </c>
      <c r="F158" s="13" t="s">
        <v>252</v>
      </c>
      <c r="G158" s="15">
        <f t="shared" si="20"/>
        <v>31044</v>
      </c>
      <c r="H158" s="14">
        <v>14574</v>
      </c>
      <c r="I158" s="14">
        <v>15016</v>
      </c>
      <c r="J158" s="27"/>
      <c r="K158" s="27"/>
      <c r="L158" s="14">
        <v>1454</v>
      </c>
      <c r="M158" s="27"/>
      <c r="N158" s="27"/>
    </row>
    <row r="159" spans="1:14">
      <c r="A159" s="37"/>
      <c r="B159" s="37"/>
      <c r="C159" s="37"/>
      <c r="D159" s="37"/>
      <c r="E159" s="13" t="s">
        <v>253</v>
      </c>
      <c r="F159" s="13" t="s">
        <v>254</v>
      </c>
      <c r="G159" s="15">
        <f t="shared" si="20"/>
        <v>224037</v>
      </c>
      <c r="H159" s="14">
        <v>43795</v>
      </c>
      <c r="I159" s="14">
        <v>68224</v>
      </c>
      <c r="J159" s="27"/>
      <c r="K159" s="27"/>
      <c r="L159" s="14">
        <v>112018</v>
      </c>
      <c r="M159" s="27"/>
      <c r="N159" s="27"/>
    </row>
    <row r="160" spans="1:14">
      <c r="A160" s="37"/>
      <c r="B160" s="37"/>
      <c r="C160" s="37"/>
      <c r="D160" s="37"/>
      <c r="E160" s="13" t="s">
        <v>255</v>
      </c>
      <c r="F160" s="13" t="s">
        <v>256</v>
      </c>
      <c r="G160" s="15">
        <f t="shared" si="20"/>
        <v>53703</v>
      </c>
      <c r="H160" s="14">
        <v>26878</v>
      </c>
      <c r="I160" s="14">
        <v>26825</v>
      </c>
      <c r="J160" s="27"/>
      <c r="K160" s="27"/>
      <c r="L160" s="27"/>
      <c r="M160" s="27"/>
      <c r="N160" s="27"/>
    </row>
    <row r="161" spans="1:14">
      <c r="A161" s="37"/>
      <c r="B161" s="37"/>
      <c r="C161" s="37"/>
      <c r="D161" s="37"/>
      <c r="E161" s="13" t="s">
        <v>257</v>
      </c>
      <c r="F161" s="13" t="s">
        <v>258</v>
      </c>
      <c r="G161" s="15">
        <f t="shared" si="20"/>
        <v>68543</v>
      </c>
      <c r="H161" s="14">
        <v>27583</v>
      </c>
      <c r="I161" s="14">
        <v>34960</v>
      </c>
      <c r="J161" s="27"/>
      <c r="K161" s="27"/>
      <c r="L161" s="27">
        <v>6000</v>
      </c>
      <c r="M161" s="27"/>
      <c r="N161" s="27"/>
    </row>
    <row r="162" spans="1:14">
      <c r="A162" s="37"/>
      <c r="B162" s="37"/>
      <c r="C162" s="37"/>
      <c r="D162" s="37"/>
      <c r="E162" s="13" t="s">
        <v>259</v>
      </c>
      <c r="F162" s="13" t="s">
        <v>260</v>
      </c>
      <c r="G162" s="15">
        <f t="shared" si="20"/>
        <v>39925</v>
      </c>
      <c r="H162" s="14">
        <f>19566-292</f>
        <v>19274</v>
      </c>
      <c r="I162" s="14">
        <v>20651</v>
      </c>
      <c r="J162" s="27"/>
      <c r="K162" s="27"/>
      <c r="L162" s="27"/>
      <c r="M162" s="27"/>
      <c r="N162" s="27"/>
    </row>
    <row r="163" spans="1:14">
      <c r="A163" s="37"/>
      <c r="B163" s="37"/>
      <c r="C163" s="37"/>
      <c r="D163" s="37"/>
      <c r="E163" s="13" t="s">
        <v>261</v>
      </c>
      <c r="F163" s="13" t="s">
        <v>262</v>
      </c>
      <c r="G163" s="15">
        <f t="shared" si="20"/>
        <v>45299</v>
      </c>
      <c r="H163" s="14">
        <v>22884</v>
      </c>
      <c r="I163" s="14">
        <v>22065</v>
      </c>
      <c r="J163" s="27"/>
      <c r="K163" s="27"/>
      <c r="L163" s="14">
        <v>350</v>
      </c>
      <c r="M163" s="27"/>
      <c r="N163" s="27"/>
    </row>
    <row r="164" spans="1:14">
      <c r="A164" s="37"/>
      <c r="B164" s="37"/>
      <c r="C164" s="37"/>
      <c r="D164" s="37"/>
      <c r="E164" s="13" t="s">
        <v>263</v>
      </c>
      <c r="F164" s="13" t="s">
        <v>264</v>
      </c>
      <c r="G164" s="15">
        <f t="shared" si="20"/>
        <v>27831</v>
      </c>
      <c r="H164" s="14">
        <v>16347</v>
      </c>
      <c r="I164" s="14">
        <v>10896</v>
      </c>
      <c r="J164" s="27"/>
      <c r="K164" s="27"/>
      <c r="L164" s="27">
        <v>588</v>
      </c>
      <c r="M164" s="27"/>
      <c r="N164" s="27"/>
    </row>
    <row r="165" spans="1:14">
      <c r="A165" s="37"/>
      <c r="B165" s="37"/>
      <c r="C165" s="37"/>
      <c r="D165" s="37"/>
      <c r="E165" s="38" t="s">
        <v>11</v>
      </c>
      <c r="F165" s="38"/>
      <c r="G165" s="15">
        <f>SUM(G152:G164)</f>
        <v>1071899</v>
      </c>
      <c r="H165" s="15">
        <f t="shared" ref="H165:N165" si="23">SUM(H152:H164)</f>
        <v>432205</v>
      </c>
      <c r="I165" s="15">
        <f t="shared" si="23"/>
        <v>482258</v>
      </c>
      <c r="J165" s="15">
        <f t="shared" si="23"/>
        <v>14673</v>
      </c>
      <c r="K165" s="15"/>
      <c r="L165" s="15">
        <f t="shared" si="23"/>
        <v>120910</v>
      </c>
      <c r="M165" s="15">
        <f t="shared" si="23"/>
        <v>4000</v>
      </c>
      <c r="N165" s="15">
        <f t="shared" si="23"/>
        <v>17853</v>
      </c>
    </row>
    <row r="166" spans="1:14">
      <c r="A166" s="37"/>
      <c r="B166" s="37"/>
      <c r="C166" s="56" t="s">
        <v>345</v>
      </c>
      <c r="D166" s="46" t="s">
        <v>346</v>
      </c>
      <c r="E166" s="35" t="s">
        <v>131</v>
      </c>
      <c r="F166" s="13" t="s">
        <v>347</v>
      </c>
      <c r="G166" s="15">
        <f t="shared" ref="G166" si="24">SUM(H166:N166)</f>
        <v>34133</v>
      </c>
      <c r="H166" s="14">
        <v>3565</v>
      </c>
      <c r="I166" s="14">
        <v>30568</v>
      </c>
      <c r="J166" s="27"/>
      <c r="K166" s="27"/>
      <c r="L166" s="27"/>
      <c r="M166" s="27"/>
      <c r="N166" s="27"/>
    </row>
    <row r="167" spans="1:14">
      <c r="A167" s="37"/>
      <c r="B167" s="37"/>
      <c r="C167" s="48"/>
      <c r="D167" s="48"/>
      <c r="E167" s="38" t="s">
        <v>11</v>
      </c>
      <c r="F167" s="38"/>
      <c r="G167" s="15">
        <f>G166</f>
        <v>34133</v>
      </c>
      <c r="H167" s="15">
        <f t="shared" ref="H167:I167" si="25">H166</f>
        <v>3565</v>
      </c>
      <c r="I167" s="15">
        <f t="shared" si="25"/>
        <v>30568</v>
      </c>
      <c r="J167" s="15"/>
      <c r="K167" s="15"/>
      <c r="L167" s="15"/>
      <c r="M167" s="15"/>
      <c r="N167" s="15"/>
    </row>
    <row r="168" spans="1:14" ht="22.5">
      <c r="A168" s="37"/>
      <c r="B168" s="37"/>
      <c r="C168" s="37" t="s">
        <v>265</v>
      </c>
      <c r="D168" s="37" t="s">
        <v>266</v>
      </c>
      <c r="E168" s="13" t="s">
        <v>131</v>
      </c>
      <c r="F168" s="13" t="s">
        <v>267</v>
      </c>
      <c r="G168" s="15">
        <f t="shared" si="20"/>
        <v>22000</v>
      </c>
      <c r="H168" s="27"/>
      <c r="I168" s="14">
        <v>22000</v>
      </c>
      <c r="J168" s="27"/>
      <c r="K168" s="27"/>
      <c r="L168" s="27"/>
      <c r="M168" s="27"/>
      <c r="N168" s="27"/>
    </row>
    <row r="169" spans="1:14">
      <c r="A169" s="37"/>
      <c r="B169" s="37"/>
      <c r="C169" s="37"/>
      <c r="D169" s="37"/>
      <c r="E169" s="38" t="s">
        <v>11</v>
      </c>
      <c r="F169" s="38"/>
      <c r="G169" s="15">
        <f t="shared" si="20"/>
        <v>22000</v>
      </c>
      <c r="H169" s="28"/>
      <c r="I169" s="15">
        <v>22000</v>
      </c>
      <c r="J169" s="28"/>
      <c r="K169" s="28"/>
      <c r="L169" s="28"/>
      <c r="M169" s="28"/>
      <c r="N169" s="28"/>
    </row>
    <row r="170" spans="1:14">
      <c r="A170" s="37"/>
      <c r="B170" s="37"/>
      <c r="C170" s="29" t="s">
        <v>11</v>
      </c>
      <c r="D170" s="62" t="s">
        <v>268</v>
      </c>
      <c r="E170" s="63"/>
      <c r="F170" s="64"/>
      <c r="G170" s="18">
        <f>G169+G167+G165+G151+G147+G133</f>
        <v>1765898</v>
      </c>
      <c r="H170" s="18">
        <f t="shared" ref="H170:N170" si="26">H169+H167+H165+H151+H147+H133</f>
        <v>810131</v>
      </c>
      <c r="I170" s="18">
        <f t="shared" si="26"/>
        <v>765433</v>
      </c>
      <c r="J170" s="18">
        <f t="shared" si="26"/>
        <v>14673</v>
      </c>
      <c r="K170" s="18"/>
      <c r="L170" s="18">
        <f t="shared" si="26"/>
        <v>153808</v>
      </c>
      <c r="M170" s="18">
        <f t="shared" si="26"/>
        <v>4000</v>
      </c>
      <c r="N170" s="18">
        <f t="shared" si="26"/>
        <v>17853</v>
      </c>
    </row>
    <row r="171" spans="1:14">
      <c r="A171" s="37"/>
      <c r="B171" s="37" t="s">
        <v>63</v>
      </c>
      <c r="C171" s="37" t="s">
        <v>269</v>
      </c>
      <c r="D171" s="37" t="s">
        <v>270</v>
      </c>
      <c r="E171" s="13" t="s">
        <v>271</v>
      </c>
      <c r="F171" s="13" t="s">
        <v>272</v>
      </c>
      <c r="G171" s="15">
        <f t="shared" si="20"/>
        <v>363939</v>
      </c>
      <c r="H171" s="14">
        <v>238346</v>
      </c>
      <c r="I171" s="14">
        <f>122037+199</f>
        <v>122236</v>
      </c>
      <c r="J171" s="27"/>
      <c r="K171" s="27"/>
      <c r="L171" s="14">
        <v>3357</v>
      </c>
      <c r="M171" s="14"/>
      <c r="N171" s="27"/>
    </row>
    <row r="172" spans="1:14">
      <c r="A172" s="37"/>
      <c r="B172" s="37"/>
      <c r="C172" s="37"/>
      <c r="D172" s="37"/>
      <c r="E172" s="13" t="s">
        <v>273</v>
      </c>
      <c r="F172" s="13" t="s">
        <v>274</v>
      </c>
      <c r="G172" s="15">
        <f t="shared" si="20"/>
        <v>153864</v>
      </c>
      <c r="H172" s="14">
        <v>145754</v>
      </c>
      <c r="I172" s="14">
        <v>8110</v>
      </c>
      <c r="J172" s="27"/>
      <c r="K172" s="27"/>
      <c r="L172" s="27"/>
      <c r="M172" s="27"/>
      <c r="N172" s="27"/>
    </row>
    <row r="173" spans="1:14">
      <c r="A173" s="37"/>
      <c r="B173" s="37"/>
      <c r="C173" s="37"/>
      <c r="D173" s="37"/>
      <c r="E173" s="13" t="s">
        <v>275</v>
      </c>
      <c r="F173" s="13" t="s">
        <v>276</v>
      </c>
      <c r="G173" s="15">
        <f t="shared" si="20"/>
        <v>509553</v>
      </c>
      <c r="H173" s="14">
        <v>336256</v>
      </c>
      <c r="I173" s="14">
        <v>171797</v>
      </c>
      <c r="J173" s="27"/>
      <c r="K173" s="27"/>
      <c r="L173" s="14">
        <v>1500</v>
      </c>
      <c r="M173" s="27"/>
      <c r="N173" s="27"/>
    </row>
    <row r="174" spans="1:14">
      <c r="A174" s="37"/>
      <c r="B174" s="37"/>
      <c r="C174" s="37"/>
      <c r="D174" s="37"/>
      <c r="E174" s="13" t="s">
        <v>277</v>
      </c>
      <c r="F174" s="13" t="s">
        <v>278</v>
      </c>
      <c r="G174" s="15">
        <f t="shared" si="20"/>
        <v>361593</v>
      </c>
      <c r="H174" s="14">
        <f>514+222005</f>
        <v>222519</v>
      </c>
      <c r="I174" s="14">
        <f>487+87195-1344</f>
        <v>86338</v>
      </c>
      <c r="J174" s="27"/>
      <c r="K174" s="27"/>
      <c r="L174" s="14">
        <f>639+50753+1344</f>
        <v>52736</v>
      </c>
      <c r="M174" s="27"/>
      <c r="N174" s="27"/>
    </row>
    <row r="175" spans="1:14">
      <c r="A175" s="37"/>
      <c r="B175" s="37"/>
      <c r="C175" s="37"/>
      <c r="D175" s="37"/>
      <c r="E175" s="13" t="s">
        <v>279</v>
      </c>
      <c r="F175" s="13" t="s">
        <v>280</v>
      </c>
      <c r="G175" s="15">
        <f t="shared" si="20"/>
        <v>106970</v>
      </c>
      <c r="H175" s="14">
        <v>82917</v>
      </c>
      <c r="I175" s="14">
        <v>23414</v>
      </c>
      <c r="J175" s="27"/>
      <c r="K175" s="27"/>
      <c r="L175" s="27">
        <v>639</v>
      </c>
      <c r="M175" s="27"/>
      <c r="N175" s="27"/>
    </row>
    <row r="176" spans="1:14">
      <c r="A176" s="37"/>
      <c r="B176" s="37"/>
      <c r="C176" s="37"/>
      <c r="D176" s="37"/>
      <c r="E176" s="38" t="s">
        <v>11</v>
      </c>
      <c r="F176" s="38"/>
      <c r="G176" s="15">
        <f>SUM(G171:G175)</f>
        <v>1495919</v>
      </c>
      <c r="H176" s="15">
        <f t="shared" ref="H176:L176" si="27">SUM(H171:H175)</f>
        <v>1025792</v>
      </c>
      <c r="I176" s="15">
        <f t="shared" si="27"/>
        <v>411895</v>
      </c>
      <c r="J176" s="15"/>
      <c r="K176" s="15"/>
      <c r="L176" s="15">
        <f t="shared" si="27"/>
        <v>58232</v>
      </c>
      <c r="M176" s="15"/>
      <c r="N176" s="15"/>
    </row>
    <row r="177" spans="1:14">
      <c r="A177" s="37"/>
      <c r="B177" s="37"/>
      <c r="C177" s="37" t="s">
        <v>281</v>
      </c>
      <c r="D177" s="37" t="s">
        <v>282</v>
      </c>
      <c r="E177" s="13" t="s">
        <v>131</v>
      </c>
      <c r="F177" s="13" t="s">
        <v>2</v>
      </c>
      <c r="G177" s="15">
        <f t="shared" si="20"/>
        <v>32936</v>
      </c>
      <c r="H177" s="27"/>
      <c r="I177" s="14">
        <f>5866+27070</f>
        <v>32936</v>
      </c>
      <c r="J177" s="27"/>
      <c r="K177" s="27"/>
      <c r="L177" s="27"/>
      <c r="M177" s="27"/>
      <c r="N177" s="27"/>
    </row>
    <row r="178" spans="1:14">
      <c r="A178" s="37"/>
      <c r="B178" s="37"/>
      <c r="C178" s="37"/>
      <c r="D178" s="37"/>
      <c r="E178" s="13" t="s">
        <v>283</v>
      </c>
      <c r="F178" s="13" t="s">
        <v>284</v>
      </c>
      <c r="G178" s="15">
        <f t="shared" si="20"/>
        <v>337871</v>
      </c>
      <c r="H178" s="14">
        <f>257575-19131</f>
        <v>238444</v>
      </c>
      <c r="I178" s="14">
        <v>99102</v>
      </c>
      <c r="J178" s="27"/>
      <c r="K178" s="27"/>
      <c r="L178" s="14">
        <v>295</v>
      </c>
      <c r="M178" s="14">
        <v>30</v>
      </c>
      <c r="N178" s="27"/>
    </row>
    <row r="179" spans="1:14">
      <c r="A179" s="37"/>
      <c r="B179" s="37"/>
      <c r="C179" s="37"/>
      <c r="D179" s="37"/>
      <c r="E179" s="13" t="s">
        <v>285</v>
      </c>
      <c r="F179" s="13" t="s">
        <v>286</v>
      </c>
      <c r="G179" s="15">
        <f t="shared" si="20"/>
        <v>711902</v>
      </c>
      <c r="H179" s="14">
        <v>408127</v>
      </c>
      <c r="I179" s="14">
        <v>225648</v>
      </c>
      <c r="J179" s="27"/>
      <c r="K179" s="27"/>
      <c r="L179" s="14">
        <v>76102</v>
      </c>
      <c r="M179" s="14">
        <v>2025</v>
      </c>
      <c r="N179" s="27"/>
    </row>
    <row r="180" spans="1:14">
      <c r="A180" s="37"/>
      <c r="B180" s="37"/>
      <c r="C180" s="37"/>
      <c r="D180" s="37"/>
      <c r="E180" s="13" t="s">
        <v>287</v>
      </c>
      <c r="F180" s="13" t="s">
        <v>288</v>
      </c>
      <c r="G180" s="15">
        <f t="shared" si="20"/>
        <v>450674</v>
      </c>
      <c r="H180" s="14">
        <v>302578</v>
      </c>
      <c r="I180" s="14">
        <f>140555+452+2590</f>
        <v>143597</v>
      </c>
      <c r="J180" s="27"/>
      <c r="K180" s="27"/>
      <c r="L180" s="14">
        <v>4011</v>
      </c>
      <c r="M180" s="14">
        <v>488</v>
      </c>
      <c r="N180" s="27"/>
    </row>
    <row r="181" spans="1:14">
      <c r="A181" s="37"/>
      <c r="B181" s="37"/>
      <c r="C181" s="37"/>
      <c r="D181" s="37"/>
      <c r="E181" s="13" t="s">
        <v>193</v>
      </c>
      <c r="F181" s="13" t="s">
        <v>289</v>
      </c>
      <c r="G181" s="15">
        <f t="shared" si="20"/>
        <v>523125</v>
      </c>
      <c r="H181" s="14">
        <f>375556+88</f>
        <v>375644</v>
      </c>
      <c r="I181" s="14">
        <v>107756</v>
      </c>
      <c r="J181" s="27"/>
      <c r="K181" s="27"/>
      <c r="L181" s="14">
        <v>39725</v>
      </c>
      <c r="M181" s="27"/>
      <c r="N181" s="27"/>
    </row>
    <row r="182" spans="1:14">
      <c r="A182" s="37"/>
      <c r="B182" s="37"/>
      <c r="C182" s="37"/>
      <c r="D182" s="37"/>
      <c r="E182" s="13" t="s">
        <v>290</v>
      </c>
      <c r="F182" s="13" t="s">
        <v>291</v>
      </c>
      <c r="G182" s="15">
        <f t="shared" si="20"/>
        <v>1137766</v>
      </c>
      <c r="H182" s="14">
        <v>801653</v>
      </c>
      <c r="I182" s="14">
        <f>302794+672</f>
        <v>303466</v>
      </c>
      <c r="J182" s="27"/>
      <c r="K182" s="27"/>
      <c r="L182" s="14">
        <f>16813+363</f>
        <v>17176</v>
      </c>
      <c r="M182" s="14">
        <v>15471</v>
      </c>
      <c r="N182" s="27"/>
    </row>
    <row r="183" spans="1:14">
      <c r="A183" s="37"/>
      <c r="B183" s="37"/>
      <c r="C183" s="37"/>
      <c r="D183" s="37"/>
      <c r="E183" s="13" t="s">
        <v>292</v>
      </c>
      <c r="F183" s="13" t="s">
        <v>293</v>
      </c>
      <c r="G183" s="15">
        <f t="shared" si="20"/>
        <v>1437108</v>
      </c>
      <c r="H183" s="14">
        <v>698300</v>
      </c>
      <c r="I183" s="14">
        <v>293909</v>
      </c>
      <c r="J183" s="27"/>
      <c r="K183" s="27"/>
      <c r="L183" s="14">
        <v>438899</v>
      </c>
      <c r="M183" s="14">
        <v>6000</v>
      </c>
      <c r="N183" s="27"/>
    </row>
    <row r="184" spans="1:14">
      <c r="A184" s="37"/>
      <c r="B184" s="37"/>
      <c r="C184" s="37"/>
      <c r="D184" s="37"/>
      <c r="E184" s="13" t="s">
        <v>294</v>
      </c>
      <c r="F184" s="13" t="s">
        <v>295</v>
      </c>
      <c r="G184" s="15">
        <f t="shared" si="20"/>
        <v>554102</v>
      </c>
      <c r="H184" s="14">
        <v>399462</v>
      </c>
      <c r="I184" s="14">
        <v>145788</v>
      </c>
      <c r="J184" s="27"/>
      <c r="K184" s="27"/>
      <c r="L184" s="14">
        <v>8852</v>
      </c>
      <c r="M184" s="27"/>
      <c r="N184" s="27"/>
    </row>
    <row r="185" spans="1:14">
      <c r="A185" s="37"/>
      <c r="B185" s="37"/>
      <c r="C185" s="37"/>
      <c r="D185" s="37"/>
      <c r="E185" s="13" t="s">
        <v>296</v>
      </c>
      <c r="F185" s="13" t="s">
        <v>297</v>
      </c>
      <c r="G185" s="15">
        <f t="shared" si="20"/>
        <v>804213</v>
      </c>
      <c r="H185" s="14">
        <v>553213</v>
      </c>
      <c r="I185" s="14">
        <f>226422+292+3762</f>
        <v>230476</v>
      </c>
      <c r="J185" s="27"/>
      <c r="K185" s="27"/>
      <c r="L185" s="14">
        <v>20524</v>
      </c>
      <c r="M185" s="27"/>
      <c r="N185" s="27"/>
    </row>
    <row r="186" spans="1:14">
      <c r="A186" s="37"/>
      <c r="B186" s="37"/>
      <c r="C186" s="37"/>
      <c r="D186" s="37"/>
      <c r="E186" s="13" t="s">
        <v>201</v>
      </c>
      <c r="F186" s="13" t="s">
        <v>298</v>
      </c>
      <c r="G186" s="15">
        <f t="shared" si="20"/>
        <v>54332</v>
      </c>
      <c r="H186" s="14">
        <v>35417</v>
      </c>
      <c r="I186" s="14">
        <v>8892</v>
      </c>
      <c r="J186" s="27"/>
      <c r="K186" s="27"/>
      <c r="L186" s="27"/>
      <c r="M186" s="27"/>
      <c r="N186" s="14">
        <v>10023</v>
      </c>
    </row>
    <row r="187" spans="1:14">
      <c r="A187" s="37"/>
      <c r="B187" s="37"/>
      <c r="C187" s="37"/>
      <c r="D187" s="37"/>
      <c r="E187" s="38" t="s">
        <v>11</v>
      </c>
      <c r="F187" s="38"/>
      <c r="G187" s="15">
        <f>SUM(G177:G186)</f>
        <v>6044029</v>
      </c>
      <c r="H187" s="15">
        <f t="shared" ref="H187:N187" si="28">SUM(H177:H186)</f>
        <v>3812838</v>
      </c>
      <c r="I187" s="15">
        <f t="shared" si="28"/>
        <v>1591570</v>
      </c>
      <c r="J187" s="15"/>
      <c r="K187" s="15"/>
      <c r="L187" s="15">
        <f t="shared" si="28"/>
        <v>605584</v>
      </c>
      <c r="M187" s="15">
        <f t="shared" si="28"/>
        <v>24014</v>
      </c>
      <c r="N187" s="15">
        <f t="shared" si="28"/>
        <v>10023</v>
      </c>
    </row>
    <row r="188" spans="1:14">
      <c r="A188" s="37"/>
      <c r="B188" s="37"/>
      <c r="C188" s="37" t="s">
        <v>299</v>
      </c>
      <c r="D188" s="37" t="s">
        <v>300</v>
      </c>
      <c r="E188" s="13" t="s">
        <v>131</v>
      </c>
      <c r="F188" s="13" t="s">
        <v>2</v>
      </c>
      <c r="G188" s="15">
        <f t="shared" si="20"/>
        <v>127704</v>
      </c>
      <c r="H188" s="14">
        <v>19995</v>
      </c>
      <c r="I188" s="14">
        <v>78509</v>
      </c>
      <c r="J188" s="14">
        <v>25500</v>
      </c>
      <c r="K188" s="27"/>
      <c r="L188" s="14">
        <v>700</v>
      </c>
      <c r="M188" s="14">
        <v>3000</v>
      </c>
      <c r="N188" s="27"/>
    </row>
    <row r="189" spans="1:14">
      <c r="A189" s="37"/>
      <c r="B189" s="37"/>
      <c r="C189" s="37"/>
      <c r="D189" s="37"/>
      <c r="E189" s="13" t="s">
        <v>301</v>
      </c>
      <c r="F189" s="13" t="s">
        <v>302</v>
      </c>
      <c r="G189" s="15">
        <f t="shared" si="20"/>
        <v>157911</v>
      </c>
      <c r="H189" s="14">
        <v>126800</v>
      </c>
      <c r="I189" s="14">
        <v>30282</v>
      </c>
      <c r="J189" s="27"/>
      <c r="K189" s="27"/>
      <c r="L189" s="27">
        <v>829</v>
      </c>
      <c r="M189" s="27"/>
      <c r="N189" s="27"/>
    </row>
    <row r="190" spans="1:14">
      <c r="A190" s="37"/>
      <c r="B190" s="37"/>
      <c r="C190" s="37"/>
      <c r="D190" s="37"/>
      <c r="E190" s="13" t="s">
        <v>303</v>
      </c>
      <c r="F190" s="13" t="s">
        <v>304</v>
      </c>
      <c r="G190" s="15">
        <f t="shared" si="20"/>
        <v>145273</v>
      </c>
      <c r="H190" s="14">
        <v>105772</v>
      </c>
      <c r="I190" s="14">
        <v>37470</v>
      </c>
      <c r="J190" s="27"/>
      <c r="K190" s="27"/>
      <c r="L190" s="14">
        <v>2031</v>
      </c>
      <c r="M190" s="27"/>
      <c r="N190" s="27"/>
    </row>
    <row r="191" spans="1:14">
      <c r="A191" s="37"/>
      <c r="B191" s="37"/>
      <c r="C191" s="37"/>
      <c r="D191" s="37"/>
      <c r="E191" s="13" t="s">
        <v>201</v>
      </c>
      <c r="F191" s="13" t="s">
        <v>298</v>
      </c>
      <c r="G191" s="15">
        <f t="shared" si="20"/>
        <v>254</v>
      </c>
      <c r="H191" s="27"/>
      <c r="I191" s="14">
        <v>33</v>
      </c>
      <c r="J191" s="27"/>
      <c r="K191" s="27"/>
      <c r="L191" s="27"/>
      <c r="M191" s="27"/>
      <c r="N191" s="27">
        <v>221</v>
      </c>
    </row>
    <row r="192" spans="1:14">
      <c r="A192" s="37"/>
      <c r="B192" s="37"/>
      <c r="C192" s="37"/>
      <c r="D192" s="37"/>
      <c r="E192" s="13" t="s">
        <v>305</v>
      </c>
      <c r="F192" s="13" t="s">
        <v>306</v>
      </c>
      <c r="G192" s="15">
        <f t="shared" si="20"/>
        <v>200387</v>
      </c>
      <c r="H192" s="14">
        <v>153022</v>
      </c>
      <c r="I192" s="14">
        <v>37705</v>
      </c>
      <c r="J192" s="27"/>
      <c r="K192" s="27"/>
      <c r="L192" s="14">
        <v>1300</v>
      </c>
      <c r="M192" s="14">
        <v>8360</v>
      </c>
      <c r="N192" s="27"/>
    </row>
    <row r="193" spans="1:14">
      <c r="A193" s="37"/>
      <c r="B193" s="37"/>
      <c r="C193" s="37"/>
      <c r="D193" s="37"/>
      <c r="E193" s="38" t="s">
        <v>11</v>
      </c>
      <c r="F193" s="38"/>
      <c r="G193" s="15">
        <f>SUM(G188:G192)</f>
        <v>631529</v>
      </c>
      <c r="H193" s="15">
        <f t="shared" ref="H193:N193" si="29">SUM(H188:H192)</f>
        <v>405589</v>
      </c>
      <c r="I193" s="15">
        <f t="shared" si="29"/>
        <v>183999</v>
      </c>
      <c r="J193" s="15">
        <f t="shared" si="29"/>
        <v>25500</v>
      </c>
      <c r="K193" s="15"/>
      <c r="L193" s="15">
        <f t="shared" si="29"/>
        <v>4860</v>
      </c>
      <c r="M193" s="15">
        <f t="shared" si="29"/>
        <v>11360</v>
      </c>
      <c r="N193" s="15">
        <f t="shared" si="29"/>
        <v>221</v>
      </c>
    </row>
    <row r="194" spans="1:14">
      <c r="A194" s="37"/>
      <c r="B194" s="37"/>
      <c r="C194" s="50" t="s">
        <v>307</v>
      </c>
      <c r="D194" s="50" t="s">
        <v>308</v>
      </c>
      <c r="E194" s="13" t="s">
        <v>131</v>
      </c>
      <c r="F194" s="13" t="s">
        <v>2</v>
      </c>
      <c r="G194" s="15">
        <f t="shared" ref="G194" si="30">SUM(H194:N194)</f>
        <v>12000</v>
      </c>
      <c r="H194" s="14"/>
      <c r="I194" s="14">
        <f>6000+6000</f>
        <v>12000</v>
      </c>
      <c r="J194" s="27"/>
      <c r="K194" s="27"/>
      <c r="L194" s="27"/>
      <c r="M194" s="14">
        <v>0</v>
      </c>
      <c r="N194" s="27"/>
    </row>
    <row r="195" spans="1:14">
      <c r="A195" s="37"/>
      <c r="B195" s="37"/>
      <c r="C195" s="51"/>
      <c r="D195" s="51"/>
      <c r="E195" s="13" t="s">
        <v>132</v>
      </c>
      <c r="F195" s="13" t="s">
        <v>133</v>
      </c>
      <c r="G195" s="15">
        <f t="shared" si="20"/>
        <v>17300</v>
      </c>
      <c r="H195" s="14">
        <v>11138</v>
      </c>
      <c r="I195" s="14">
        <v>6112</v>
      </c>
      <c r="J195" s="27"/>
      <c r="K195" s="27"/>
      <c r="L195" s="27"/>
      <c r="M195" s="14">
        <v>50</v>
      </c>
      <c r="N195" s="27"/>
    </row>
    <row r="196" spans="1:14">
      <c r="A196" s="37"/>
      <c r="B196" s="37"/>
      <c r="C196" s="51"/>
      <c r="D196" s="51"/>
      <c r="E196" s="13" t="s">
        <v>134</v>
      </c>
      <c r="F196" s="13" t="s">
        <v>135</v>
      </c>
      <c r="G196" s="15">
        <f t="shared" si="20"/>
        <v>28560</v>
      </c>
      <c r="H196" s="14">
        <v>20685</v>
      </c>
      <c r="I196" s="14">
        <v>7375</v>
      </c>
      <c r="J196" s="27"/>
      <c r="K196" s="27"/>
      <c r="L196" s="27"/>
      <c r="M196" s="14">
        <v>500</v>
      </c>
      <c r="N196" s="27"/>
    </row>
    <row r="197" spans="1:14">
      <c r="A197" s="37"/>
      <c r="B197" s="37"/>
      <c r="C197" s="51"/>
      <c r="D197" s="51"/>
      <c r="E197" s="13" t="s">
        <v>136</v>
      </c>
      <c r="F197" s="13" t="s">
        <v>137</v>
      </c>
      <c r="G197" s="15">
        <f t="shared" si="20"/>
        <v>22709</v>
      </c>
      <c r="H197" s="14">
        <v>12377</v>
      </c>
      <c r="I197" s="14">
        <v>10232</v>
      </c>
      <c r="J197" s="27"/>
      <c r="K197" s="27"/>
      <c r="L197" s="27"/>
      <c r="M197" s="14">
        <v>100</v>
      </c>
      <c r="N197" s="27"/>
    </row>
    <row r="198" spans="1:14">
      <c r="A198" s="37"/>
      <c r="B198" s="37"/>
      <c r="C198" s="51"/>
      <c r="D198" s="51"/>
      <c r="E198" s="13" t="s">
        <v>138</v>
      </c>
      <c r="F198" s="13" t="s">
        <v>139</v>
      </c>
      <c r="G198" s="15">
        <f t="shared" si="20"/>
        <v>15082</v>
      </c>
      <c r="H198" s="14">
        <v>9105</v>
      </c>
      <c r="I198" s="14">
        <v>5827</v>
      </c>
      <c r="J198" s="27"/>
      <c r="K198" s="27"/>
      <c r="L198" s="27"/>
      <c r="M198" s="14">
        <v>150</v>
      </c>
      <c r="N198" s="27"/>
    </row>
    <row r="199" spans="1:14">
      <c r="A199" s="37"/>
      <c r="B199" s="37"/>
      <c r="C199" s="51"/>
      <c r="D199" s="51"/>
      <c r="E199" s="13" t="s">
        <v>140</v>
      </c>
      <c r="F199" s="13" t="s">
        <v>141</v>
      </c>
      <c r="G199" s="15">
        <f t="shared" si="20"/>
        <v>13837</v>
      </c>
      <c r="H199" s="14">
        <v>10168</v>
      </c>
      <c r="I199" s="14">
        <v>3569</v>
      </c>
      <c r="J199" s="27"/>
      <c r="K199" s="27"/>
      <c r="L199" s="27"/>
      <c r="M199" s="14">
        <v>100</v>
      </c>
      <c r="N199" s="27"/>
    </row>
    <row r="200" spans="1:14">
      <c r="A200" s="37"/>
      <c r="B200" s="37"/>
      <c r="C200" s="51"/>
      <c r="D200" s="51"/>
      <c r="E200" s="13" t="s">
        <v>142</v>
      </c>
      <c r="F200" s="13" t="s">
        <v>143</v>
      </c>
      <c r="G200" s="15">
        <f t="shared" si="20"/>
        <v>20367</v>
      </c>
      <c r="H200" s="14">
        <v>15199</v>
      </c>
      <c r="I200" s="14">
        <v>4808</v>
      </c>
      <c r="J200" s="27"/>
      <c r="K200" s="27"/>
      <c r="L200" s="27"/>
      <c r="M200" s="14">
        <v>360</v>
      </c>
      <c r="N200" s="27"/>
    </row>
    <row r="201" spans="1:14">
      <c r="A201" s="37"/>
      <c r="B201" s="37"/>
      <c r="C201" s="51"/>
      <c r="D201" s="51"/>
      <c r="E201" s="13" t="s">
        <v>144</v>
      </c>
      <c r="F201" s="13" t="s">
        <v>145</v>
      </c>
      <c r="G201" s="15">
        <f t="shared" si="20"/>
        <v>19032</v>
      </c>
      <c r="H201" s="14">
        <v>9105</v>
      </c>
      <c r="I201" s="14">
        <v>9427</v>
      </c>
      <c r="J201" s="27"/>
      <c r="K201" s="27"/>
      <c r="L201" s="27"/>
      <c r="M201" s="14">
        <v>500</v>
      </c>
      <c r="N201" s="27"/>
    </row>
    <row r="202" spans="1:14">
      <c r="A202" s="37"/>
      <c r="B202" s="37"/>
      <c r="C202" s="51"/>
      <c r="D202" s="51"/>
      <c r="E202" s="13" t="s">
        <v>146</v>
      </c>
      <c r="F202" s="13" t="s">
        <v>147</v>
      </c>
      <c r="G202" s="15">
        <f t="shared" si="20"/>
        <v>39398</v>
      </c>
      <c r="H202" s="14">
        <v>15382</v>
      </c>
      <c r="I202" s="14">
        <f>24006+10</f>
        <v>24016</v>
      </c>
      <c r="J202" s="27"/>
      <c r="K202" s="27"/>
      <c r="L202" s="27"/>
      <c r="M202" s="27"/>
      <c r="N202" s="27"/>
    </row>
    <row r="203" spans="1:14">
      <c r="A203" s="37"/>
      <c r="B203" s="37"/>
      <c r="C203" s="51"/>
      <c r="D203" s="51"/>
      <c r="E203" s="13" t="s">
        <v>148</v>
      </c>
      <c r="F203" s="13" t="s">
        <v>149</v>
      </c>
      <c r="G203" s="15">
        <f t="shared" si="20"/>
        <v>22988</v>
      </c>
      <c r="H203" s="14">
        <v>11757</v>
      </c>
      <c r="I203" s="14">
        <v>10031</v>
      </c>
      <c r="J203" s="27"/>
      <c r="K203" s="27"/>
      <c r="L203" s="27"/>
      <c r="M203" s="14">
        <v>1200</v>
      </c>
      <c r="N203" s="27"/>
    </row>
    <row r="204" spans="1:14">
      <c r="A204" s="37"/>
      <c r="B204" s="37"/>
      <c r="C204" s="51"/>
      <c r="D204" s="51"/>
      <c r="E204" s="13" t="s">
        <v>150</v>
      </c>
      <c r="F204" s="13" t="s">
        <v>151</v>
      </c>
      <c r="G204" s="15">
        <f t="shared" si="20"/>
        <v>41428</v>
      </c>
      <c r="H204" s="14">
        <v>30311</v>
      </c>
      <c r="I204" s="14">
        <v>11017</v>
      </c>
      <c r="J204" s="27"/>
      <c r="K204" s="27"/>
      <c r="L204" s="27"/>
      <c r="M204" s="14">
        <v>100</v>
      </c>
      <c r="N204" s="27"/>
    </row>
    <row r="205" spans="1:14">
      <c r="A205" s="37"/>
      <c r="B205" s="37"/>
      <c r="C205" s="51"/>
      <c r="D205" s="51"/>
      <c r="E205" s="13" t="s">
        <v>152</v>
      </c>
      <c r="F205" s="13" t="s">
        <v>153</v>
      </c>
      <c r="G205" s="15">
        <f t="shared" si="20"/>
        <v>52470</v>
      </c>
      <c r="H205" s="14">
        <v>27971</v>
      </c>
      <c r="I205" s="14">
        <v>24499</v>
      </c>
      <c r="J205" s="27"/>
      <c r="K205" s="27"/>
      <c r="L205" s="27"/>
      <c r="M205" s="27"/>
      <c r="N205" s="27"/>
    </row>
    <row r="206" spans="1:14">
      <c r="A206" s="37"/>
      <c r="B206" s="37"/>
      <c r="C206" s="51"/>
      <c r="D206" s="51"/>
      <c r="E206" s="13" t="s">
        <v>154</v>
      </c>
      <c r="F206" s="13" t="s">
        <v>155</v>
      </c>
      <c r="G206" s="15">
        <f t="shared" si="20"/>
        <v>38399</v>
      </c>
      <c r="H206" s="14">
        <v>15116</v>
      </c>
      <c r="I206" s="14">
        <f>21443+1200</f>
        <v>22643</v>
      </c>
      <c r="J206" s="27"/>
      <c r="K206" s="27"/>
      <c r="L206" s="27"/>
      <c r="M206" s="14">
        <v>640</v>
      </c>
      <c r="N206" s="27"/>
    </row>
    <row r="207" spans="1:14">
      <c r="A207" s="37"/>
      <c r="B207" s="37"/>
      <c r="C207" s="52"/>
      <c r="D207" s="52"/>
      <c r="E207" s="38" t="s">
        <v>11</v>
      </c>
      <c r="F207" s="38"/>
      <c r="G207" s="15">
        <f>SUM(G194:G206)</f>
        <v>343570</v>
      </c>
      <c r="H207" s="15">
        <f t="shared" ref="H207:M207" si="31">SUM(H194:H206)</f>
        <v>188314</v>
      </c>
      <c r="I207" s="15">
        <f t="shared" si="31"/>
        <v>151556</v>
      </c>
      <c r="J207" s="15"/>
      <c r="K207" s="15"/>
      <c r="L207" s="15"/>
      <c r="M207" s="15">
        <f t="shared" si="31"/>
        <v>3700</v>
      </c>
      <c r="N207" s="15"/>
    </row>
    <row r="208" spans="1:14">
      <c r="A208" s="37"/>
      <c r="B208" s="37"/>
      <c r="C208" s="37" t="s">
        <v>309</v>
      </c>
      <c r="D208" s="37" t="s">
        <v>310</v>
      </c>
      <c r="E208" s="13" t="s">
        <v>201</v>
      </c>
      <c r="F208" s="13" t="s">
        <v>298</v>
      </c>
      <c r="G208" s="15">
        <f t="shared" si="20"/>
        <v>791894</v>
      </c>
      <c r="H208" s="14">
        <v>133802</v>
      </c>
      <c r="I208" s="14">
        <v>25913</v>
      </c>
      <c r="J208" s="27"/>
      <c r="K208" s="27"/>
      <c r="L208" s="14">
        <v>7549</v>
      </c>
      <c r="M208" s="14">
        <v>1630</v>
      </c>
      <c r="N208" s="14">
        <v>623000</v>
      </c>
    </row>
    <row r="209" spans="1:14">
      <c r="A209" s="37"/>
      <c r="B209" s="37"/>
      <c r="C209" s="37"/>
      <c r="D209" s="37"/>
      <c r="E209" s="38" t="s">
        <v>11</v>
      </c>
      <c r="F209" s="38"/>
      <c r="G209" s="15">
        <f>G208</f>
        <v>791894</v>
      </c>
      <c r="H209" s="15">
        <f t="shared" ref="H209:N209" si="32">H208</f>
        <v>133802</v>
      </c>
      <c r="I209" s="15">
        <f t="shared" si="32"/>
        <v>25913</v>
      </c>
      <c r="J209" s="15"/>
      <c r="K209" s="15"/>
      <c r="L209" s="15">
        <f t="shared" si="32"/>
        <v>7549</v>
      </c>
      <c r="M209" s="15">
        <f t="shared" si="32"/>
        <v>1630</v>
      </c>
      <c r="N209" s="15">
        <f t="shared" si="32"/>
        <v>623000</v>
      </c>
    </row>
    <row r="210" spans="1:14" ht="30.6" customHeight="1">
      <c r="A210" s="37"/>
      <c r="B210" s="37"/>
      <c r="C210" s="46" t="s">
        <v>311</v>
      </c>
      <c r="D210" s="46" t="s">
        <v>312</v>
      </c>
      <c r="E210" s="13" t="s">
        <v>201</v>
      </c>
      <c r="F210" s="13" t="s">
        <v>298</v>
      </c>
      <c r="G210" s="15">
        <f t="shared" ref="G210:G217" si="33">SUM(H210:N210)</f>
        <v>41654</v>
      </c>
      <c r="H210" s="14">
        <v>41654</v>
      </c>
      <c r="I210" s="27"/>
      <c r="J210" s="27"/>
      <c r="K210" s="27"/>
      <c r="L210" s="27"/>
      <c r="M210" s="27"/>
      <c r="N210" s="27"/>
    </row>
    <row r="211" spans="1:14">
      <c r="A211" s="37"/>
      <c r="B211" s="37"/>
      <c r="C211" s="48"/>
      <c r="D211" s="48"/>
      <c r="E211" s="38" t="s">
        <v>11</v>
      </c>
      <c r="F211" s="38"/>
      <c r="G211" s="15">
        <f>G210</f>
        <v>41654</v>
      </c>
      <c r="H211" s="15">
        <f>H210</f>
        <v>41654</v>
      </c>
      <c r="I211" s="28"/>
      <c r="J211" s="28"/>
      <c r="K211" s="28"/>
      <c r="L211" s="28"/>
      <c r="M211" s="28"/>
      <c r="N211" s="28"/>
    </row>
    <row r="212" spans="1:14">
      <c r="A212" s="37"/>
      <c r="B212" s="37"/>
      <c r="C212" s="29" t="s">
        <v>11</v>
      </c>
      <c r="D212" s="62" t="s">
        <v>313</v>
      </c>
      <c r="E212" s="63"/>
      <c r="F212" s="64"/>
      <c r="G212" s="18">
        <f>G211+G209+G207+G193+G187+G176</f>
        <v>9348595</v>
      </c>
      <c r="H212" s="18">
        <f t="shared" ref="H212:N212" si="34">H211+H209+H207+H193+H187+H176</f>
        <v>5607989</v>
      </c>
      <c r="I212" s="18">
        <f t="shared" si="34"/>
        <v>2364933</v>
      </c>
      <c r="J212" s="18">
        <f t="shared" si="34"/>
        <v>25500</v>
      </c>
      <c r="K212" s="18"/>
      <c r="L212" s="18">
        <f t="shared" si="34"/>
        <v>676225</v>
      </c>
      <c r="M212" s="18">
        <f t="shared" si="34"/>
        <v>40704</v>
      </c>
      <c r="N212" s="18">
        <f t="shared" si="34"/>
        <v>633244</v>
      </c>
    </row>
    <row r="213" spans="1:14">
      <c r="A213" s="37"/>
      <c r="B213" s="37" t="s">
        <v>65</v>
      </c>
      <c r="C213" s="37" t="s">
        <v>314</v>
      </c>
      <c r="D213" s="37" t="s">
        <v>315</v>
      </c>
      <c r="E213" s="13" t="s">
        <v>316</v>
      </c>
      <c r="F213" s="13" t="s">
        <v>317</v>
      </c>
      <c r="G213" s="15">
        <f t="shared" si="33"/>
        <v>146575</v>
      </c>
      <c r="H213" s="14">
        <v>128350</v>
      </c>
      <c r="I213" s="14">
        <v>17286</v>
      </c>
      <c r="J213" s="27"/>
      <c r="K213" s="27"/>
      <c r="L213" s="27">
        <v>939</v>
      </c>
      <c r="M213" s="27"/>
      <c r="N213" s="27"/>
    </row>
    <row r="214" spans="1:14">
      <c r="A214" s="37"/>
      <c r="B214" s="37"/>
      <c r="C214" s="37"/>
      <c r="D214" s="37"/>
      <c r="E214" s="38" t="s">
        <v>11</v>
      </c>
      <c r="F214" s="38"/>
      <c r="G214" s="15">
        <f>G213</f>
        <v>146575</v>
      </c>
      <c r="H214" s="15">
        <f t="shared" ref="H214:L214" si="35">H213</f>
        <v>128350</v>
      </c>
      <c r="I214" s="15">
        <f t="shared" si="35"/>
        <v>17286</v>
      </c>
      <c r="J214" s="15"/>
      <c r="K214" s="15"/>
      <c r="L214" s="15">
        <f t="shared" si="35"/>
        <v>939</v>
      </c>
      <c r="M214" s="15"/>
      <c r="N214" s="15"/>
    </row>
    <row r="215" spans="1:14" ht="24.6" customHeight="1">
      <c r="A215" s="37"/>
      <c r="B215" s="37"/>
      <c r="C215" s="37" t="s">
        <v>318</v>
      </c>
      <c r="D215" s="37" t="s">
        <v>319</v>
      </c>
      <c r="E215" s="13" t="s">
        <v>131</v>
      </c>
      <c r="F215" s="13" t="s">
        <v>2</v>
      </c>
      <c r="G215" s="15">
        <f t="shared" si="33"/>
        <v>20094</v>
      </c>
      <c r="H215" s="14">
        <v>3294</v>
      </c>
      <c r="I215" s="14">
        <v>15000</v>
      </c>
      <c r="J215" s="27"/>
      <c r="K215" s="27"/>
      <c r="L215" s="27"/>
      <c r="M215" s="14">
        <v>1800</v>
      </c>
      <c r="N215" s="27"/>
    </row>
    <row r="216" spans="1:14">
      <c r="A216" s="37"/>
      <c r="B216" s="37"/>
      <c r="C216" s="37"/>
      <c r="D216" s="37"/>
      <c r="E216" s="38" t="s">
        <v>11</v>
      </c>
      <c r="F216" s="38"/>
      <c r="G216" s="15">
        <f t="shared" si="33"/>
        <v>20094</v>
      </c>
      <c r="H216" s="15">
        <v>3294</v>
      </c>
      <c r="I216" s="15">
        <v>15000</v>
      </c>
      <c r="J216" s="28"/>
      <c r="K216" s="28"/>
      <c r="L216" s="28"/>
      <c r="M216" s="15">
        <v>1800</v>
      </c>
      <c r="N216" s="28"/>
    </row>
    <row r="217" spans="1:14" ht="24.6" customHeight="1">
      <c r="A217" s="37"/>
      <c r="B217" s="37"/>
      <c r="C217" s="37" t="s">
        <v>320</v>
      </c>
      <c r="D217" s="37" t="s">
        <v>321</v>
      </c>
      <c r="E217" s="13" t="s">
        <v>322</v>
      </c>
      <c r="F217" s="13" t="s">
        <v>323</v>
      </c>
      <c r="G217" s="15">
        <f t="shared" si="33"/>
        <v>2174206</v>
      </c>
      <c r="H217" s="14">
        <v>724530</v>
      </c>
      <c r="I217" s="14">
        <v>129001</v>
      </c>
      <c r="J217" s="27"/>
      <c r="K217" s="27"/>
      <c r="L217" s="27">
        <v>4766</v>
      </c>
      <c r="M217" s="14">
        <v>1315909</v>
      </c>
      <c r="N217" s="27"/>
    </row>
    <row r="218" spans="1:14">
      <c r="A218" s="37"/>
      <c r="B218" s="37"/>
      <c r="C218" s="37"/>
      <c r="D218" s="37"/>
      <c r="E218" s="38" t="s">
        <v>11</v>
      </c>
      <c r="F218" s="38"/>
      <c r="G218" s="15">
        <f>G217</f>
        <v>2174206</v>
      </c>
      <c r="H218" s="15">
        <f t="shared" ref="H218:M218" si="36">H217</f>
        <v>724530</v>
      </c>
      <c r="I218" s="15">
        <f t="shared" si="36"/>
        <v>129001</v>
      </c>
      <c r="J218" s="15"/>
      <c r="K218" s="15"/>
      <c r="L218" s="15">
        <f t="shared" si="36"/>
        <v>4766</v>
      </c>
      <c r="M218" s="15">
        <f t="shared" si="36"/>
        <v>1315909</v>
      </c>
      <c r="N218" s="15"/>
    </row>
    <row r="219" spans="1:14">
      <c r="A219" s="37"/>
      <c r="B219" s="37"/>
      <c r="C219" s="29" t="s">
        <v>11</v>
      </c>
      <c r="D219" s="62" t="s">
        <v>324</v>
      </c>
      <c r="E219" s="63"/>
      <c r="F219" s="64"/>
      <c r="G219" s="18">
        <f>G218+G216+G214</f>
        <v>2340875</v>
      </c>
      <c r="H219" s="18">
        <f t="shared" ref="H219:M219" si="37">H218+H216+H214</f>
        <v>856174</v>
      </c>
      <c r="I219" s="18">
        <f t="shared" si="37"/>
        <v>161287</v>
      </c>
      <c r="J219" s="18"/>
      <c r="K219" s="18"/>
      <c r="L219" s="18">
        <f t="shared" si="37"/>
        <v>5705</v>
      </c>
      <c r="M219" s="18">
        <f t="shared" si="37"/>
        <v>1317709</v>
      </c>
      <c r="N219" s="18"/>
    </row>
    <row r="220" spans="1:14">
      <c r="A220" s="30" t="s">
        <v>11</v>
      </c>
      <c r="B220" s="30"/>
      <c r="C220" s="38"/>
      <c r="D220" s="38"/>
      <c r="E220" s="38"/>
      <c r="F220" s="38"/>
      <c r="G220" s="15">
        <f>G219+G212+G170+G123+G120+G71+G56+G28</f>
        <v>22672787</v>
      </c>
      <c r="H220" s="15">
        <f t="shared" ref="H220:N220" si="38">H219+H212+H170+H123+H120+H71+H56+H28</f>
        <v>10625799</v>
      </c>
      <c r="I220" s="15">
        <f t="shared" si="38"/>
        <v>6022938</v>
      </c>
      <c r="J220" s="15">
        <f t="shared" si="38"/>
        <v>443907</v>
      </c>
      <c r="K220" s="15">
        <f t="shared" si="38"/>
        <v>350000</v>
      </c>
      <c r="L220" s="15">
        <f t="shared" si="38"/>
        <v>3118593</v>
      </c>
      <c r="M220" s="15">
        <f t="shared" si="38"/>
        <v>1452820</v>
      </c>
      <c r="N220" s="15">
        <f t="shared" si="38"/>
        <v>658730</v>
      </c>
    </row>
  </sheetData>
  <mergeCells count="122">
    <mergeCell ref="E218:F218"/>
    <mergeCell ref="D219:F219"/>
    <mergeCell ref="C220:D220"/>
    <mergeCell ref="E220:F220"/>
    <mergeCell ref="D212:F212"/>
    <mergeCell ref="B213:B219"/>
    <mergeCell ref="C213:C214"/>
    <mergeCell ref="D213:D214"/>
    <mergeCell ref="E214:F214"/>
    <mergeCell ref="C215:C216"/>
    <mergeCell ref="D215:D216"/>
    <mergeCell ref="E216:F216"/>
    <mergeCell ref="C217:C218"/>
    <mergeCell ref="D217:D218"/>
    <mergeCell ref="C168:C169"/>
    <mergeCell ref="D168:D169"/>
    <mergeCell ref="E169:F169"/>
    <mergeCell ref="D170:F170"/>
    <mergeCell ref="B171:B212"/>
    <mergeCell ref="C171:C176"/>
    <mergeCell ref="D171:D176"/>
    <mergeCell ref="E176:F176"/>
    <mergeCell ref="C177:C187"/>
    <mergeCell ref="D177:D187"/>
    <mergeCell ref="B124:B170"/>
    <mergeCell ref="C208:C209"/>
    <mergeCell ref="D208:D209"/>
    <mergeCell ref="E209:F209"/>
    <mergeCell ref="C210:C211"/>
    <mergeCell ref="D210:D211"/>
    <mergeCell ref="E211:F211"/>
    <mergeCell ref="E187:F187"/>
    <mergeCell ref="C188:C193"/>
    <mergeCell ref="D188:D193"/>
    <mergeCell ref="E193:F193"/>
    <mergeCell ref="E207:F207"/>
    <mergeCell ref="E147:F147"/>
    <mergeCell ref="C148:C151"/>
    <mergeCell ref="D148:D151"/>
    <mergeCell ref="E151:F151"/>
    <mergeCell ref="C152:C165"/>
    <mergeCell ref="D152:D165"/>
    <mergeCell ref="E165:F165"/>
    <mergeCell ref="C106:C119"/>
    <mergeCell ref="D106:D119"/>
    <mergeCell ref="E119:F119"/>
    <mergeCell ref="D120:F120"/>
    <mergeCell ref="C124:C133"/>
    <mergeCell ref="D124:D133"/>
    <mergeCell ref="E133:F133"/>
    <mergeCell ref="C134:C147"/>
    <mergeCell ref="D134:D147"/>
    <mergeCell ref="E122:F122"/>
    <mergeCell ref="D123:F123"/>
    <mergeCell ref="C85:C92"/>
    <mergeCell ref="D85:D92"/>
    <mergeCell ref="E92:F92"/>
    <mergeCell ref="C93:C105"/>
    <mergeCell ref="D93:D105"/>
    <mergeCell ref="E105:F105"/>
    <mergeCell ref="B72:B120"/>
    <mergeCell ref="C72:C73"/>
    <mergeCell ref="D72:D73"/>
    <mergeCell ref="E73:F73"/>
    <mergeCell ref="C74:C77"/>
    <mergeCell ref="D74:D77"/>
    <mergeCell ref="E77:F77"/>
    <mergeCell ref="C78:C84"/>
    <mergeCell ref="D78:D84"/>
    <mergeCell ref="E84:F84"/>
    <mergeCell ref="B57:B71"/>
    <mergeCell ref="C57:C70"/>
    <mergeCell ref="D57:D70"/>
    <mergeCell ref="E70:F70"/>
    <mergeCell ref="D71:F71"/>
    <mergeCell ref="D38:D51"/>
    <mergeCell ref="E51:F51"/>
    <mergeCell ref="C52:C53"/>
    <mergeCell ref="D52:D53"/>
    <mergeCell ref="E53:F53"/>
    <mergeCell ref="C54:C55"/>
    <mergeCell ref="D54:D55"/>
    <mergeCell ref="E55:F55"/>
    <mergeCell ref="D24:D25"/>
    <mergeCell ref="E25:F25"/>
    <mergeCell ref="C26:C27"/>
    <mergeCell ref="D26:D27"/>
    <mergeCell ref="E27:F27"/>
    <mergeCell ref="D28:F28"/>
    <mergeCell ref="B29:B56"/>
    <mergeCell ref="C29:C30"/>
    <mergeCell ref="D29:D30"/>
    <mergeCell ref="E30:F30"/>
    <mergeCell ref="C31:C37"/>
    <mergeCell ref="D31:D37"/>
    <mergeCell ref="E37:F37"/>
    <mergeCell ref="C38:C51"/>
    <mergeCell ref="D56:F56"/>
    <mergeCell ref="D194:D207"/>
    <mergeCell ref="C194:C207"/>
    <mergeCell ref="B121:B123"/>
    <mergeCell ref="C121:C122"/>
    <mergeCell ref="D121:D122"/>
    <mergeCell ref="E167:F167"/>
    <mergeCell ref="C166:C167"/>
    <mergeCell ref="D166:D167"/>
    <mergeCell ref="K1:N1"/>
    <mergeCell ref="K2:N2"/>
    <mergeCell ref="K3:N3"/>
    <mergeCell ref="A5:N5"/>
    <mergeCell ref="A6:N6"/>
    <mergeCell ref="A8:A9"/>
    <mergeCell ref="B8:B9"/>
    <mergeCell ref="C8:D9"/>
    <mergeCell ref="E8:F9"/>
    <mergeCell ref="G8:N8"/>
    <mergeCell ref="A10:A219"/>
    <mergeCell ref="B10:B28"/>
    <mergeCell ref="C10:C23"/>
    <mergeCell ref="D10:D23"/>
    <mergeCell ref="E23:F23"/>
    <mergeCell ref="C24:C25"/>
  </mergeCells>
  <pageMargins left="0.74803149606299213" right="0.74803149606299213" top="0.98425196850393704" bottom="0.98425196850393704" header="0.51181102362204722" footer="0.51181102362204722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L26"/>
  <sheetViews>
    <sheetView showGridLines="0" tabSelected="1" workbookViewId="0">
      <selection activeCell="D3" sqref="D3:G3"/>
    </sheetView>
  </sheetViews>
  <sheetFormatPr defaultColWidth="8.85546875" defaultRowHeight="12.75"/>
  <cols>
    <col min="1" max="1" width="5.28515625" style="2" customWidth="1"/>
    <col min="2" max="2" width="10.42578125" style="2" customWidth="1"/>
    <col min="3" max="3" width="10.140625" style="2" customWidth="1"/>
    <col min="4" max="4" width="43.5703125" style="2" customWidth="1"/>
    <col min="5" max="7" width="11" style="2" customWidth="1"/>
    <col min="8" max="16384" width="8.85546875" style="2"/>
  </cols>
  <sheetData>
    <row r="1" spans="1:12" s="31" customFormat="1" ht="15" customHeight="1">
      <c r="A1" s="1"/>
      <c r="B1" s="1"/>
      <c r="C1" s="1"/>
      <c r="E1" s="42" t="s">
        <v>325</v>
      </c>
      <c r="F1" s="42"/>
      <c r="G1" s="42"/>
      <c r="I1" s="32"/>
      <c r="J1" s="32"/>
      <c r="K1" s="32"/>
    </row>
    <row r="2" spans="1:12" s="31" customFormat="1" ht="15" customHeight="1">
      <c r="A2" s="4"/>
      <c r="B2" s="4"/>
      <c r="C2" s="4"/>
      <c r="E2" s="42" t="s">
        <v>1</v>
      </c>
      <c r="F2" s="42"/>
      <c r="G2" s="42"/>
      <c r="I2" s="32"/>
      <c r="J2" s="32"/>
      <c r="K2" s="32"/>
    </row>
    <row r="3" spans="1:12" s="31" customFormat="1" ht="15" customHeight="1">
      <c r="A3" s="5"/>
      <c r="B3" s="5"/>
      <c r="C3" s="5"/>
      <c r="D3" s="42" t="s">
        <v>355</v>
      </c>
      <c r="E3" s="42"/>
      <c r="F3" s="42"/>
      <c r="G3" s="42"/>
      <c r="H3" s="3"/>
      <c r="I3" s="3"/>
      <c r="J3" s="32"/>
      <c r="K3" s="32"/>
    </row>
    <row r="4" spans="1:12" s="31" customFormat="1" ht="10.5" customHeight="1">
      <c r="A4" s="6"/>
      <c r="B4" s="6"/>
      <c r="C4" s="6"/>
      <c r="D4" s="6"/>
      <c r="E4" s="6"/>
      <c r="F4" s="6"/>
      <c r="G4" s="6"/>
      <c r="H4" s="6"/>
      <c r="I4" s="8"/>
      <c r="J4" s="8"/>
      <c r="K4" s="8"/>
    </row>
    <row r="5" spans="1:12" s="31" customFormat="1" ht="15" customHeight="1">
      <c r="A5" s="43" t="s">
        <v>2</v>
      </c>
      <c r="B5" s="43"/>
      <c r="C5" s="43"/>
      <c r="D5" s="43"/>
      <c r="E5" s="43"/>
      <c r="F5" s="43"/>
      <c r="G5" s="43"/>
      <c r="H5" s="10"/>
      <c r="I5" s="10"/>
      <c r="J5" s="10"/>
      <c r="K5" s="10"/>
    </row>
    <row r="6" spans="1:12" s="31" customFormat="1" ht="29.25" customHeight="1">
      <c r="A6" s="45" t="s">
        <v>353</v>
      </c>
      <c r="B6" s="45"/>
      <c r="C6" s="45"/>
      <c r="D6" s="45"/>
      <c r="E6" s="45"/>
      <c r="F6" s="45"/>
      <c r="G6" s="45"/>
      <c r="H6" s="11"/>
      <c r="I6" s="11"/>
      <c r="J6" s="11"/>
      <c r="K6" s="11"/>
    </row>
    <row r="7" spans="1:12" ht="10.5" customHeight="1"/>
    <row r="8" spans="1:12" s="33" customFormat="1" ht="45">
      <c r="A8" s="26" t="s">
        <v>3</v>
      </c>
      <c r="B8" s="26" t="s">
        <v>4</v>
      </c>
      <c r="C8" s="44" t="s">
        <v>5</v>
      </c>
      <c r="D8" s="44"/>
      <c r="E8" s="12" t="s">
        <v>6</v>
      </c>
      <c r="F8" s="12" t="s">
        <v>329</v>
      </c>
      <c r="G8" s="12" t="s">
        <v>330</v>
      </c>
    </row>
    <row r="9" spans="1:12">
      <c r="A9" s="37" t="s">
        <v>7</v>
      </c>
      <c r="B9" s="37" t="s">
        <v>348</v>
      </c>
      <c r="C9" s="13" t="s">
        <v>349</v>
      </c>
      <c r="D9" s="13" t="s">
        <v>350</v>
      </c>
      <c r="E9" s="14">
        <v>0</v>
      </c>
      <c r="F9" s="14">
        <f>G9-E9</f>
        <v>3240</v>
      </c>
      <c r="G9" s="14">
        <v>3240</v>
      </c>
    </row>
    <row r="10" spans="1:12">
      <c r="A10" s="37"/>
      <c r="B10" s="37"/>
      <c r="C10" s="13" t="s">
        <v>351</v>
      </c>
      <c r="D10" s="13" t="s">
        <v>352</v>
      </c>
      <c r="E10" s="14">
        <v>0</v>
      </c>
      <c r="F10" s="14">
        <f>G10-E10</f>
        <v>1312</v>
      </c>
      <c r="G10" s="14">
        <v>1312</v>
      </c>
    </row>
    <row r="11" spans="1:12">
      <c r="A11" s="37"/>
      <c r="B11" s="17" t="s">
        <v>49</v>
      </c>
      <c r="C11" s="41" t="s">
        <v>50</v>
      </c>
      <c r="D11" s="41"/>
      <c r="E11" s="18">
        <f>SUM(E9:E10)</f>
        <v>0</v>
      </c>
      <c r="F11" s="18">
        <f t="shared" ref="F11:G11" si="0">SUM(F9:F10)</f>
        <v>4552</v>
      </c>
      <c r="G11" s="18">
        <f t="shared" si="0"/>
        <v>4552</v>
      </c>
      <c r="H11" s="24"/>
    </row>
    <row r="12" spans="1:12">
      <c r="A12" s="19"/>
      <c r="B12" s="20"/>
      <c r="C12" s="20"/>
      <c r="D12" s="20"/>
      <c r="E12" s="21"/>
      <c r="F12" s="21"/>
      <c r="G12" s="21"/>
    </row>
    <row r="13" spans="1:12" ht="12.75" customHeight="1">
      <c r="A13" s="37" t="s">
        <v>51</v>
      </c>
      <c r="B13" s="36" t="s">
        <v>52</v>
      </c>
      <c r="C13" s="36"/>
      <c r="D13" s="36"/>
      <c r="E13" s="36"/>
      <c r="F13" s="36"/>
      <c r="G13" s="36"/>
      <c r="L13" s="22"/>
    </row>
    <row r="14" spans="1:12">
      <c r="A14" s="37"/>
      <c r="B14" s="49" t="s">
        <v>61</v>
      </c>
      <c r="C14" s="49"/>
      <c r="D14" s="13" t="s">
        <v>62</v>
      </c>
      <c r="E14" s="14">
        <v>862</v>
      </c>
      <c r="F14" s="14">
        <f>G14-E14</f>
        <v>3562</v>
      </c>
      <c r="G14" s="14">
        <v>4424</v>
      </c>
    </row>
    <row r="15" spans="1:12">
      <c r="A15" s="37"/>
      <c r="B15" s="49" t="s">
        <v>63</v>
      </c>
      <c r="C15" s="49"/>
      <c r="D15" s="13" t="s">
        <v>64</v>
      </c>
      <c r="E15" s="14">
        <v>522</v>
      </c>
      <c r="F15" s="14">
        <f>G15-E15</f>
        <v>990</v>
      </c>
      <c r="G15" s="14">
        <v>1512</v>
      </c>
    </row>
    <row r="16" spans="1:12">
      <c r="A16" s="37"/>
      <c r="B16" s="17" t="s">
        <v>49</v>
      </c>
      <c r="C16" s="41" t="s">
        <v>67</v>
      </c>
      <c r="D16" s="41"/>
      <c r="E16" s="18">
        <f>SUM(E14:E15)</f>
        <v>1384</v>
      </c>
      <c r="F16" s="18">
        <f t="shared" ref="F16:G16" si="1">SUM(F14:F15)</f>
        <v>4552</v>
      </c>
      <c r="G16" s="18">
        <f t="shared" si="1"/>
        <v>5936</v>
      </c>
    </row>
    <row r="17" spans="1:12">
      <c r="A17" s="19"/>
      <c r="B17" s="20"/>
      <c r="C17" s="20"/>
      <c r="D17" s="20"/>
      <c r="E17" s="21"/>
      <c r="F17" s="21"/>
      <c r="G17" s="21"/>
    </row>
    <row r="18" spans="1:12" ht="12.75" customHeight="1">
      <c r="A18" s="46" t="s">
        <v>51</v>
      </c>
      <c r="B18" s="36" t="s">
        <v>68</v>
      </c>
      <c r="C18" s="36"/>
      <c r="D18" s="36"/>
      <c r="E18" s="36"/>
      <c r="F18" s="36"/>
      <c r="G18" s="36"/>
      <c r="L18" s="22"/>
    </row>
    <row r="19" spans="1:12">
      <c r="A19" s="47"/>
      <c r="B19" s="37" t="s">
        <v>74</v>
      </c>
      <c r="C19" s="13" t="s">
        <v>77</v>
      </c>
      <c r="D19" s="13" t="s">
        <v>78</v>
      </c>
      <c r="E19" s="14">
        <v>1384</v>
      </c>
      <c r="F19" s="14">
        <f>G19-E19</f>
        <v>2670</v>
      </c>
      <c r="G19" s="14">
        <v>4054</v>
      </c>
    </row>
    <row r="20" spans="1:12" ht="22.5">
      <c r="A20" s="47"/>
      <c r="B20" s="37"/>
      <c r="C20" s="13" t="s">
        <v>79</v>
      </c>
      <c r="D20" s="13" t="s">
        <v>80</v>
      </c>
      <c r="E20" s="14"/>
      <c r="F20" s="14">
        <f>G20-E20</f>
        <v>1882</v>
      </c>
      <c r="G20" s="14">
        <v>1882</v>
      </c>
    </row>
    <row r="21" spans="1:12">
      <c r="A21" s="48"/>
      <c r="B21" s="17" t="s">
        <v>49</v>
      </c>
      <c r="C21" s="41" t="s">
        <v>106</v>
      </c>
      <c r="D21" s="41"/>
      <c r="E21" s="18">
        <f>SUM(E19:E20)</f>
        <v>1384</v>
      </c>
      <c r="F21" s="18">
        <f t="shared" ref="F21:G21" si="2">SUM(F19:F20)</f>
        <v>4552</v>
      </c>
      <c r="G21" s="18">
        <f t="shared" si="2"/>
        <v>5936</v>
      </c>
    </row>
    <row r="22" spans="1:12">
      <c r="A22" s="19"/>
      <c r="B22" s="20"/>
      <c r="C22" s="20"/>
      <c r="D22" s="20"/>
      <c r="E22" s="21"/>
      <c r="F22" s="21"/>
      <c r="G22" s="21"/>
    </row>
    <row r="23" spans="1:12" ht="12.75" customHeight="1">
      <c r="A23" s="37" t="s">
        <v>107</v>
      </c>
      <c r="B23" s="36" t="s">
        <v>108</v>
      </c>
      <c r="C23" s="36"/>
      <c r="D23" s="36"/>
      <c r="E23" s="36"/>
      <c r="F23" s="36"/>
      <c r="G23" s="36"/>
      <c r="L23" s="22"/>
    </row>
    <row r="24" spans="1:12">
      <c r="A24" s="37"/>
      <c r="B24" s="37" t="s">
        <v>109</v>
      </c>
      <c r="C24" s="13" t="s">
        <v>110</v>
      </c>
      <c r="D24" s="13" t="s">
        <v>111</v>
      </c>
      <c r="E24" s="14">
        <v>1384</v>
      </c>
      <c r="F24" s="14">
        <f>G24-E24</f>
        <v>0</v>
      </c>
      <c r="G24" s="14">
        <v>1384</v>
      </c>
    </row>
    <row r="25" spans="1:12">
      <c r="A25" s="37"/>
      <c r="B25" s="37"/>
      <c r="C25" s="38" t="s">
        <v>11</v>
      </c>
      <c r="D25" s="38"/>
      <c r="E25" s="15">
        <v>1384</v>
      </c>
      <c r="F25" s="15">
        <f>G25-E25</f>
        <v>0</v>
      </c>
      <c r="G25" s="15">
        <v>1384</v>
      </c>
    </row>
    <row r="26" spans="1:12">
      <c r="A26" s="37"/>
      <c r="B26" s="17" t="s">
        <v>49</v>
      </c>
      <c r="C26" s="41" t="s">
        <v>117</v>
      </c>
      <c r="D26" s="41"/>
      <c r="E26" s="18">
        <v>1384</v>
      </c>
      <c r="F26" s="18">
        <f>G26-E26</f>
        <v>0</v>
      </c>
      <c r="G26" s="18">
        <v>1384</v>
      </c>
      <c r="H26" s="24"/>
    </row>
  </sheetData>
  <mergeCells count="23">
    <mergeCell ref="C8:D8"/>
    <mergeCell ref="A9:A11"/>
    <mergeCell ref="B9:B10"/>
    <mergeCell ref="A13:A16"/>
    <mergeCell ref="B14:C14"/>
    <mergeCell ref="B15:C15"/>
    <mergeCell ref="C16:D16"/>
    <mergeCell ref="B13:G13"/>
    <mergeCell ref="C11:D11"/>
    <mergeCell ref="A23:A26"/>
    <mergeCell ref="A18:A21"/>
    <mergeCell ref="B24:B25"/>
    <mergeCell ref="C25:D25"/>
    <mergeCell ref="C26:D26"/>
    <mergeCell ref="B19:B20"/>
    <mergeCell ref="C21:D21"/>
    <mergeCell ref="B18:G18"/>
    <mergeCell ref="B23:G23"/>
    <mergeCell ref="E1:G1"/>
    <mergeCell ref="E2:G2"/>
    <mergeCell ref="D3:G3"/>
    <mergeCell ref="A6:G6"/>
    <mergeCell ref="A5:G5"/>
  </mergeCells>
  <pageMargins left="0.75" right="0.75" top="1" bottom="1" header="0.5" footer="0.5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1.pielikums</vt:lpstr>
      <vt:lpstr>2.pielikums</vt:lpstr>
      <vt:lpstr>3.pielikums</vt:lpstr>
      <vt:lpstr>'1.pielikums'!Drukāt_virsrakstus</vt:lpstr>
      <vt:lpstr>'2.pielikums'!Drukāt_virsrakstus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V.Gruntmane</dc:creator>
  <cp:lastModifiedBy>Evija Ozoliņa</cp:lastModifiedBy>
  <cp:lastPrinted>2023-12-04T09:15:48Z</cp:lastPrinted>
  <dcterms:created xsi:type="dcterms:W3CDTF">2023-02-13T13:00:55Z</dcterms:created>
  <dcterms:modified xsi:type="dcterms:W3CDTF">2023-12-04T09:15:51Z</dcterms:modified>
</cp:coreProperties>
</file>